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2"/>
  <workbookPr filterPrivacy="1" defaultThemeVersion="124226"/>
  <xr:revisionPtr revIDLastSave="0" documentId="13_ncr:1_{16F7292E-3BC0-429D-8712-FB83643CFF54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112年" sheetId="20" r:id="rId1"/>
    <sheet name="111年" sheetId="19" r:id="rId2"/>
    <sheet name="110年" sheetId="18" r:id="rId3"/>
    <sheet name="109年" sheetId="17" r:id="rId4"/>
    <sheet name="108年" sheetId="16" r:id="rId5"/>
    <sheet name="107年" sheetId="15" r:id="rId6"/>
    <sheet name="106年" sheetId="14" r:id="rId7"/>
    <sheet name="105年" sheetId="13" r:id="rId8"/>
    <sheet name="104年" sheetId="12" r:id="rId9"/>
    <sheet name="103年" sheetId="3" r:id="rId10"/>
    <sheet name="102年" sheetId="8" r:id="rId11"/>
    <sheet name="101年" sheetId="10" r:id="rId12"/>
    <sheet name="100年" sheetId="11" r:id="rId13"/>
    <sheet name="96年~99年" sheetId="1" r:id="rId14"/>
  </sheets>
  <definedNames>
    <definedName name="_xlnm.Print_Area" localSheetId="8">'104年'!$A$1:$AV$39</definedName>
    <definedName name="_xlnm.Print_Area" localSheetId="7">'105年'!$A$1:$AV$39</definedName>
    <definedName name="_xlnm.Print_Area" localSheetId="6">'106年'!$A$1:$AV$39</definedName>
    <definedName name="_xlnm.Print_Area" localSheetId="5">'107年'!$A$1:$AV$39</definedName>
    <definedName name="_xlnm.Print_Area" localSheetId="4">'108年'!$A$1:$AV$39</definedName>
    <definedName name="_xlnm.Print_Area" localSheetId="3">'109年'!$A$1:$AV$39</definedName>
    <definedName name="_xlnm.Print_Area" localSheetId="2">'110年'!$A$1:$AV$39</definedName>
    <definedName name="_xlnm.Print_Area" localSheetId="1">'111年'!$A$1:$AV$39</definedName>
    <definedName name="_xlnm.Print_Area" localSheetId="0">'112年'!$A$1:$AV$39</definedName>
    <definedName name="_xlnm.Print_Area" localSheetId="13">'96年~99年'!$A$1:$K$42</definedName>
    <definedName name="_xlnm.Print_Titles" localSheetId="12">'100年'!$1:$5</definedName>
    <definedName name="_xlnm.Print_Titles" localSheetId="11">'101年'!$1:$5</definedName>
    <definedName name="_xlnm.Print_Titles" localSheetId="10">'102年'!$1:$5</definedName>
    <definedName name="_xlnm.Print_Titles" localSheetId="9">'103年'!$1:$5</definedName>
    <definedName name="_xlnm.Print_Titles" localSheetId="8">'104年'!$1:$5</definedName>
    <definedName name="_xlnm.Print_Titles" localSheetId="7">'105年'!$1:$5</definedName>
    <definedName name="_xlnm.Print_Titles" localSheetId="6">'106年'!$1:$5</definedName>
    <definedName name="_xlnm.Print_Titles" localSheetId="5">'107年'!$1:$5</definedName>
    <definedName name="_xlnm.Print_Titles" localSheetId="4">'108年'!$1:$5</definedName>
    <definedName name="_xlnm.Print_Titles" localSheetId="3">'109年'!$1:$5</definedName>
    <definedName name="_xlnm.Print_Titles" localSheetId="2">'110年'!$1:$5</definedName>
    <definedName name="_xlnm.Print_Titles" localSheetId="1">'111年'!$1:$5</definedName>
    <definedName name="_xlnm.Print_Titles" localSheetId="0">'112年'!$1:$5</definedName>
    <definedName name="_xlnm.Print_Titles" localSheetId="13">'96年~99年'!$A:$C,'96年~99年'!$1:$4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T35" i="20" l="1"/>
  <c r="AJ6" i="20"/>
  <c r="AI6" i="20"/>
  <c r="AG6" i="20"/>
  <c r="AF6" i="20"/>
  <c r="X6" i="20"/>
  <c r="AI6" i="19"/>
  <c r="J31" i="20"/>
  <c r="G31" i="20"/>
  <c r="E30" i="20"/>
  <c r="E31" i="20"/>
  <c r="AT28" i="20"/>
  <c r="AT38" i="20"/>
  <c r="AQ38" i="20"/>
  <c r="AP38" i="20"/>
  <c r="AO38" i="20"/>
  <c r="AN38" i="20"/>
  <c r="AH38" i="20"/>
  <c r="AE38" i="20"/>
  <c r="AD38" i="20"/>
  <c r="AB38" i="20" s="1"/>
  <c r="AC38" i="20"/>
  <c r="V38" i="20"/>
  <c r="S38" i="20"/>
  <c r="R38" i="20"/>
  <c r="P38" i="20" s="1"/>
  <c r="J38" i="20"/>
  <c r="G38" i="20"/>
  <c r="F38" i="20"/>
  <c r="E38" i="20"/>
  <c r="D38" i="20"/>
  <c r="AT37" i="20"/>
  <c r="AQ37" i="20"/>
  <c r="AP37" i="20"/>
  <c r="AO37" i="20"/>
  <c r="AN37" i="20"/>
  <c r="AH37" i="20"/>
  <c r="AE37" i="20"/>
  <c r="AD37" i="20"/>
  <c r="AC37" i="20"/>
  <c r="V37" i="20"/>
  <c r="S37" i="20"/>
  <c r="R37" i="20"/>
  <c r="P37" i="20"/>
  <c r="J37" i="20"/>
  <c r="G37" i="20"/>
  <c r="F37" i="20"/>
  <c r="E37" i="20"/>
  <c r="D37" i="20"/>
  <c r="AT36" i="20"/>
  <c r="AQ36" i="20"/>
  <c r="AP36" i="20"/>
  <c r="AO36" i="20"/>
  <c r="AN36" i="20"/>
  <c r="AH36" i="20"/>
  <c r="AE36" i="20"/>
  <c r="AD36" i="20"/>
  <c r="AC36" i="20"/>
  <c r="V36" i="20"/>
  <c r="S36" i="20"/>
  <c r="R36" i="20"/>
  <c r="P36" i="20"/>
  <c r="J36" i="20"/>
  <c r="G36" i="20"/>
  <c r="F36" i="20"/>
  <c r="D36" i="20" s="1"/>
  <c r="E36" i="20"/>
  <c r="AP35" i="20"/>
  <c r="AN35" i="20" s="1"/>
  <c r="AO35" i="20"/>
  <c r="AD35" i="20"/>
  <c r="AC35" i="20"/>
  <c r="R35" i="20"/>
  <c r="J35" i="20"/>
  <c r="G35" i="20"/>
  <c r="F35" i="20"/>
  <c r="E35" i="20"/>
  <c r="AP34" i="20"/>
  <c r="AO34" i="20"/>
  <c r="AD34" i="20"/>
  <c r="AC34" i="20"/>
  <c r="J34" i="20"/>
  <c r="G34" i="20"/>
  <c r="F34" i="20"/>
  <c r="E34" i="20"/>
  <c r="AP33" i="20"/>
  <c r="AO33" i="20"/>
  <c r="AD33" i="20"/>
  <c r="AC33" i="20"/>
  <c r="J33" i="20"/>
  <c r="G33" i="20"/>
  <c r="F33" i="20"/>
  <c r="E33" i="20"/>
  <c r="D33" i="20"/>
  <c r="AP32" i="20"/>
  <c r="AO32" i="20"/>
  <c r="AD32" i="20"/>
  <c r="AC32" i="20"/>
  <c r="J32" i="20"/>
  <c r="G32" i="20"/>
  <c r="F32" i="20"/>
  <c r="D32" i="20" s="1"/>
  <c r="E32" i="20"/>
  <c r="AP31" i="20"/>
  <c r="AO31" i="20"/>
  <c r="AD31" i="20"/>
  <c r="AC31" i="20"/>
  <c r="F31" i="20"/>
  <c r="AP30" i="20"/>
  <c r="AO30" i="20"/>
  <c r="AD30" i="20"/>
  <c r="AC30" i="20"/>
  <c r="F30" i="20"/>
  <c r="AV29" i="20"/>
  <c r="AU29" i="20"/>
  <c r="AT29" i="20"/>
  <c r="AS29" i="20"/>
  <c r="AR29" i="20"/>
  <c r="AQ29" i="20"/>
  <c r="AJ29" i="20"/>
  <c r="AI29" i="20"/>
  <c r="AH29" i="20"/>
  <c r="AG29" i="20"/>
  <c r="AF29" i="20"/>
  <c r="AE29" i="20"/>
  <c r="X29" i="20"/>
  <c r="V29" i="20" s="1"/>
  <c r="U29" i="20"/>
  <c r="S29" i="20" s="1"/>
  <c r="L29" i="20"/>
  <c r="K29" i="20"/>
  <c r="I29" i="20"/>
  <c r="H29" i="20"/>
  <c r="G29" i="20"/>
  <c r="AP28" i="20"/>
  <c r="AO28" i="20"/>
  <c r="AN28" i="20"/>
  <c r="AH28" i="20"/>
  <c r="AE28" i="20"/>
  <c r="AD28" i="20"/>
  <c r="AC28" i="20"/>
  <c r="V28" i="20"/>
  <c r="S28" i="20"/>
  <c r="R28" i="20"/>
  <c r="P28" i="20"/>
  <c r="J28" i="20"/>
  <c r="G28" i="20"/>
  <c r="F28" i="20"/>
  <c r="E28" i="20"/>
  <c r="AT27" i="20"/>
  <c r="AQ27" i="20"/>
  <c r="AP27" i="20"/>
  <c r="AO27" i="20"/>
  <c r="AN27" i="20"/>
  <c r="AH27" i="20"/>
  <c r="AE27" i="20"/>
  <c r="AD27" i="20"/>
  <c r="AC27" i="20"/>
  <c r="V27" i="20"/>
  <c r="S27" i="20"/>
  <c r="R27" i="20"/>
  <c r="P27" i="20"/>
  <c r="J27" i="20"/>
  <c r="G27" i="20"/>
  <c r="F27" i="20"/>
  <c r="E27" i="20"/>
  <c r="AT26" i="20"/>
  <c r="AQ26" i="20"/>
  <c r="AP26" i="20"/>
  <c r="AO26" i="20"/>
  <c r="AH26" i="20"/>
  <c r="AE26" i="20"/>
  <c r="AD26" i="20"/>
  <c r="AC26" i="20"/>
  <c r="AB26" i="20"/>
  <c r="V26" i="20"/>
  <c r="S26" i="20"/>
  <c r="R26" i="20"/>
  <c r="P26" i="20"/>
  <c r="J26" i="20"/>
  <c r="G26" i="20"/>
  <c r="F26" i="20"/>
  <c r="E26" i="20"/>
  <c r="AT25" i="20"/>
  <c r="AQ25" i="20"/>
  <c r="AP25" i="20"/>
  <c r="AO25" i="20"/>
  <c r="AH25" i="20"/>
  <c r="AE25" i="20"/>
  <c r="AD25" i="20"/>
  <c r="AC25" i="20"/>
  <c r="AB25" i="20"/>
  <c r="V25" i="20"/>
  <c r="S25" i="20"/>
  <c r="R25" i="20"/>
  <c r="P25" i="20"/>
  <c r="J25" i="20"/>
  <c r="G25" i="20"/>
  <c r="F25" i="20"/>
  <c r="E25" i="20"/>
  <c r="AT24" i="20"/>
  <c r="AQ24" i="20"/>
  <c r="AP24" i="20"/>
  <c r="AO24" i="20"/>
  <c r="AH24" i="20"/>
  <c r="AE24" i="20"/>
  <c r="AD24" i="20"/>
  <c r="AC24" i="20"/>
  <c r="AB24" i="20" s="1"/>
  <c r="V24" i="20"/>
  <c r="S24" i="20"/>
  <c r="R24" i="20"/>
  <c r="P24" i="20"/>
  <c r="J24" i="20"/>
  <c r="G24" i="20"/>
  <c r="F24" i="20"/>
  <c r="E24" i="20"/>
  <c r="D24" i="20"/>
  <c r="AT23" i="20"/>
  <c r="AQ23" i="20"/>
  <c r="AP23" i="20"/>
  <c r="AN23" i="20" s="1"/>
  <c r="AO23" i="20"/>
  <c r="AH23" i="20"/>
  <c r="AE23" i="20"/>
  <c r="AD23" i="20"/>
  <c r="AC23" i="20"/>
  <c r="AB23" i="20"/>
  <c r="V23" i="20"/>
  <c r="S23" i="20"/>
  <c r="R23" i="20"/>
  <c r="P23" i="20" s="1"/>
  <c r="J23" i="20"/>
  <c r="G23" i="20"/>
  <c r="F23" i="20"/>
  <c r="E23" i="20"/>
  <c r="D23" i="20"/>
  <c r="AT22" i="20"/>
  <c r="AQ22" i="20"/>
  <c r="AP22" i="20"/>
  <c r="AO22" i="20"/>
  <c r="AN22" i="20"/>
  <c r="AH22" i="20"/>
  <c r="AE22" i="20"/>
  <c r="AD22" i="20"/>
  <c r="AC22" i="20"/>
  <c r="V22" i="20"/>
  <c r="S22" i="20"/>
  <c r="R22" i="20"/>
  <c r="P22" i="20" s="1"/>
  <c r="J22" i="20"/>
  <c r="G22" i="20"/>
  <c r="F22" i="20"/>
  <c r="E22" i="20"/>
  <c r="D22" i="20"/>
  <c r="AT21" i="20"/>
  <c r="AQ21" i="20"/>
  <c r="AP21" i="20"/>
  <c r="AO21" i="20"/>
  <c r="AN21" i="20"/>
  <c r="AH21" i="20"/>
  <c r="AE21" i="20"/>
  <c r="AD21" i="20"/>
  <c r="AC21" i="20"/>
  <c r="AB21" i="20" s="1"/>
  <c r="V21" i="20"/>
  <c r="S21" i="20"/>
  <c r="R21" i="20"/>
  <c r="P21" i="20" s="1"/>
  <c r="J21" i="20"/>
  <c r="G21" i="20"/>
  <c r="F21" i="20"/>
  <c r="E21" i="20"/>
  <c r="D21" i="20"/>
  <c r="AT20" i="20"/>
  <c r="AQ20" i="20"/>
  <c r="AP20" i="20"/>
  <c r="AO20" i="20"/>
  <c r="AN20" i="20"/>
  <c r="AH20" i="20"/>
  <c r="AE20" i="20"/>
  <c r="AD20" i="20"/>
  <c r="AC20" i="20"/>
  <c r="AB20" i="20" s="1"/>
  <c r="V20" i="20"/>
  <c r="S20" i="20"/>
  <c r="R20" i="20"/>
  <c r="P20" i="20"/>
  <c r="J20" i="20"/>
  <c r="G20" i="20"/>
  <c r="F20" i="20"/>
  <c r="E20" i="20"/>
  <c r="AT19" i="20"/>
  <c r="AQ19" i="20"/>
  <c r="AP19" i="20"/>
  <c r="AO19" i="20"/>
  <c r="AN19" i="20"/>
  <c r="AH19" i="20"/>
  <c r="AE19" i="20"/>
  <c r="AD19" i="20"/>
  <c r="AC19" i="20"/>
  <c r="AB19" i="20"/>
  <c r="V19" i="20"/>
  <c r="S19" i="20"/>
  <c r="R19" i="20"/>
  <c r="P19" i="20"/>
  <c r="J19" i="20"/>
  <c r="G19" i="20"/>
  <c r="F19" i="20"/>
  <c r="E19" i="20"/>
  <c r="AT18" i="20"/>
  <c r="AQ18" i="20"/>
  <c r="AP18" i="20"/>
  <c r="AO18" i="20"/>
  <c r="AN18" i="20"/>
  <c r="AH18" i="20"/>
  <c r="AE18" i="20"/>
  <c r="AD18" i="20"/>
  <c r="AC18" i="20"/>
  <c r="AB18" i="20"/>
  <c r="V18" i="20"/>
  <c r="S18" i="20"/>
  <c r="R18" i="20"/>
  <c r="P18" i="20"/>
  <c r="J18" i="20"/>
  <c r="G18" i="20"/>
  <c r="F18" i="20"/>
  <c r="E18" i="20"/>
  <c r="AT17" i="20"/>
  <c r="AQ17" i="20"/>
  <c r="AP17" i="20"/>
  <c r="AO17" i="20"/>
  <c r="AN17" i="20"/>
  <c r="AH17" i="20"/>
  <c r="AE17" i="20"/>
  <c r="AD17" i="20"/>
  <c r="AC17" i="20"/>
  <c r="AB17" i="20"/>
  <c r="V17" i="20"/>
  <c r="S17" i="20"/>
  <c r="R17" i="20"/>
  <c r="P17" i="20" s="1"/>
  <c r="J17" i="20"/>
  <c r="G17" i="20"/>
  <c r="F17" i="20"/>
  <c r="E17" i="20"/>
  <c r="AT16" i="20"/>
  <c r="AQ16" i="20"/>
  <c r="AP16" i="20"/>
  <c r="AO16" i="20"/>
  <c r="AN16" i="20"/>
  <c r="AH16" i="20"/>
  <c r="AE16" i="20"/>
  <c r="AD16" i="20"/>
  <c r="AC16" i="20"/>
  <c r="AB16" i="20"/>
  <c r="V16" i="20"/>
  <c r="S16" i="20"/>
  <c r="R16" i="20"/>
  <c r="P16" i="20" s="1"/>
  <c r="J16" i="20"/>
  <c r="G16" i="20"/>
  <c r="F16" i="20"/>
  <c r="E16" i="20"/>
  <c r="AT15" i="20"/>
  <c r="AQ15" i="20"/>
  <c r="AP15" i="20"/>
  <c r="AO15" i="20"/>
  <c r="AN15" i="20"/>
  <c r="AH15" i="20"/>
  <c r="AE15" i="20"/>
  <c r="AD15" i="20"/>
  <c r="AC15" i="20"/>
  <c r="AB15" i="20"/>
  <c r="V15" i="20"/>
  <c r="S15" i="20"/>
  <c r="R15" i="20"/>
  <c r="P15" i="20"/>
  <c r="J15" i="20"/>
  <c r="G15" i="20"/>
  <c r="F15" i="20"/>
  <c r="E15" i="20"/>
  <c r="AT14" i="20"/>
  <c r="AQ14" i="20"/>
  <c r="AP14" i="20"/>
  <c r="AO14" i="20"/>
  <c r="AH14" i="20"/>
  <c r="AE14" i="20"/>
  <c r="AD14" i="20"/>
  <c r="AC14" i="20"/>
  <c r="AB14" i="20"/>
  <c r="V14" i="20"/>
  <c r="S14" i="20"/>
  <c r="R14" i="20"/>
  <c r="P14" i="20" s="1"/>
  <c r="J14" i="20"/>
  <c r="G14" i="20"/>
  <c r="F14" i="20"/>
  <c r="E14" i="20"/>
  <c r="AT13" i="20"/>
  <c r="AQ13" i="20"/>
  <c r="AP13" i="20"/>
  <c r="AO13" i="20"/>
  <c r="AH13" i="20"/>
  <c r="AE13" i="20"/>
  <c r="AD13" i="20"/>
  <c r="AC13" i="20"/>
  <c r="AB13" i="20"/>
  <c r="V13" i="20"/>
  <c r="S13" i="20"/>
  <c r="R13" i="20"/>
  <c r="P13" i="20"/>
  <c r="J13" i="20"/>
  <c r="G13" i="20"/>
  <c r="F13" i="20"/>
  <c r="E13" i="20"/>
  <c r="D13" i="20"/>
  <c r="AT12" i="20"/>
  <c r="AQ12" i="20"/>
  <c r="AP12" i="20"/>
  <c r="AO12" i="20"/>
  <c r="AH12" i="20"/>
  <c r="AE12" i="20"/>
  <c r="AD12" i="20"/>
  <c r="AC12" i="20"/>
  <c r="V12" i="20"/>
  <c r="S12" i="20"/>
  <c r="R12" i="20"/>
  <c r="P12" i="20"/>
  <c r="J12" i="20"/>
  <c r="G12" i="20"/>
  <c r="F12" i="20"/>
  <c r="E12" i="20"/>
  <c r="AT11" i="20"/>
  <c r="AQ11" i="20"/>
  <c r="AP11" i="20"/>
  <c r="AO11" i="20"/>
  <c r="AN11" i="20"/>
  <c r="AH11" i="20"/>
  <c r="AE11" i="20"/>
  <c r="AD11" i="20"/>
  <c r="AC11" i="20"/>
  <c r="V11" i="20"/>
  <c r="S11" i="20"/>
  <c r="R11" i="20"/>
  <c r="P11" i="20"/>
  <c r="J11" i="20"/>
  <c r="G11" i="20"/>
  <c r="F11" i="20"/>
  <c r="E11" i="20"/>
  <c r="AT10" i="20"/>
  <c r="AQ10" i="20"/>
  <c r="AP10" i="20"/>
  <c r="AO10" i="20"/>
  <c r="AN10" i="20"/>
  <c r="AH10" i="20"/>
  <c r="AE10" i="20"/>
  <c r="AD10" i="20"/>
  <c r="AC10" i="20"/>
  <c r="AB10" i="20"/>
  <c r="V10" i="20"/>
  <c r="S10" i="20"/>
  <c r="R10" i="20"/>
  <c r="P10" i="20"/>
  <c r="J10" i="20"/>
  <c r="G10" i="20"/>
  <c r="F10" i="20"/>
  <c r="E10" i="20"/>
  <c r="AT9" i="20"/>
  <c r="AQ9" i="20"/>
  <c r="AP9" i="20"/>
  <c r="AO9" i="20"/>
  <c r="AN9" i="20"/>
  <c r="AH9" i="20"/>
  <c r="AE9" i="20"/>
  <c r="AD9" i="20"/>
  <c r="AC9" i="20"/>
  <c r="AB9" i="20" s="1"/>
  <c r="V9" i="20"/>
  <c r="S9" i="20"/>
  <c r="R9" i="20"/>
  <c r="P9" i="20" s="1"/>
  <c r="J9" i="20"/>
  <c r="G9" i="20"/>
  <c r="F9" i="20"/>
  <c r="E9" i="20"/>
  <c r="D9" i="20"/>
  <c r="AT8" i="20"/>
  <c r="AQ8" i="20"/>
  <c r="AP8" i="20"/>
  <c r="AO8" i="20"/>
  <c r="AN8" i="20"/>
  <c r="AH8" i="20"/>
  <c r="AE8" i="20"/>
  <c r="AD8" i="20"/>
  <c r="AC8" i="20"/>
  <c r="V8" i="20"/>
  <c r="S8" i="20"/>
  <c r="R8" i="20"/>
  <c r="P8" i="20"/>
  <c r="J8" i="20"/>
  <c r="G8" i="20"/>
  <c r="F8" i="20"/>
  <c r="E8" i="20"/>
  <c r="D8" i="20" s="1"/>
  <c r="AT7" i="20"/>
  <c r="AQ7" i="20"/>
  <c r="AP7" i="20"/>
  <c r="AO7" i="20"/>
  <c r="AN7" i="20" s="1"/>
  <c r="AH7" i="20"/>
  <c r="AE7" i="20"/>
  <c r="AD7" i="20"/>
  <c r="AC7" i="20"/>
  <c r="V7" i="20"/>
  <c r="S7" i="20"/>
  <c r="R7" i="20"/>
  <c r="P7" i="20" s="1"/>
  <c r="J7" i="20"/>
  <c r="G7" i="20"/>
  <c r="F7" i="20"/>
  <c r="E7" i="20"/>
  <c r="D7" i="20"/>
  <c r="AV6" i="20"/>
  <c r="AU6" i="20"/>
  <c r="AS6" i="20"/>
  <c r="AR6" i="20"/>
  <c r="AQ6" i="20"/>
  <c r="AE6" i="20"/>
  <c r="V6" i="20"/>
  <c r="U6" i="20"/>
  <c r="S6" i="20" s="1"/>
  <c r="L6" i="20"/>
  <c r="J6" i="20" s="1"/>
  <c r="K6" i="20"/>
  <c r="I6" i="20"/>
  <c r="H6" i="20"/>
  <c r="G6" i="20"/>
  <c r="AN3" i="20"/>
  <c r="AB3" i="20"/>
  <c r="P3" i="20"/>
  <c r="U29" i="19"/>
  <c r="AG29" i="19"/>
  <c r="AI29" i="19"/>
  <c r="J29" i="20" l="1"/>
  <c r="D34" i="20"/>
  <c r="D25" i="20"/>
  <c r="D17" i="20"/>
  <c r="D10" i="20"/>
  <c r="D26" i="20"/>
  <c r="D16" i="20"/>
  <c r="D20" i="20"/>
  <c r="D11" i="20"/>
  <c r="D14" i="20"/>
  <c r="D28" i="20"/>
  <c r="D15" i="20"/>
  <c r="AT6" i="20"/>
  <c r="AN26" i="20"/>
  <c r="AB37" i="20"/>
  <c r="AB11" i="20"/>
  <c r="AC6" i="20"/>
  <c r="AO29" i="20"/>
  <c r="AP29" i="20"/>
  <c r="AC29" i="20"/>
  <c r="AB36" i="20"/>
  <c r="AD29" i="20"/>
  <c r="R29" i="20"/>
  <c r="P29" i="20" s="1"/>
  <c r="D31" i="20"/>
  <c r="D35" i="20"/>
  <c r="F29" i="20"/>
  <c r="E29" i="20"/>
  <c r="AN24" i="20"/>
  <c r="AN14" i="20"/>
  <c r="AN25" i="20"/>
  <c r="AO6" i="20"/>
  <c r="AN13" i="20"/>
  <c r="AN12" i="20"/>
  <c r="AP6" i="20"/>
  <c r="AB12" i="20"/>
  <c r="AB22" i="20"/>
  <c r="AH6" i="20"/>
  <c r="AB28" i="20"/>
  <c r="AB27" i="20"/>
  <c r="AB7" i="20"/>
  <c r="AB8" i="20"/>
  <c r="R6" i="20"/>
  <c r="P6" i="20" s="1"/>
  <c r="D27" i="20"/>
  <c r="D12" i="20"/>
  <c r="E6" i="20"/>
  <c r="D19" i="20"/>
  <c r="D18" i="20"/>
  <c r="F6" i="20"/>
  <c r="AB29" i="20"/>
  <c r="AD6" i="20"/>
  <c r="AB6" i="20" s="1"/>
  <c r="AF29" i="19"/>
  <c r="AJ29" i="19"/>
  <c r="AJ6" i="19"/>
  <c r="AN29" i="20" l="1"/>
  <c r="AN6" i="20"/>
  <c r="D29" i="20"/>
  <c r="D6" i="20"/>
  <c r="AT38" i="19"/>
  <c r="AQ38" i="19"/>
  <c r="AP38" i="19"/>
  <c r="AO38" i="19"/>
  <c r="AH38" i="19"/>
  <c r="AE38" i="19"/>
  <c r="AD38" i="19"/>
  <c r="AC38" i="19"/>
  <c r="V38" i="19"/>
  <c r="S38" i="19"/>
  <c r="R38" i="19"/>
  <c r="P38" i="19" s="1"/>
  <c r="J38" i="19"/>
  <c r="G38" i="19"/>
  <c r="F38" i="19"/>
  <c r="E38" i="19"/>
  <c r="AT37" i="19"/>
  <c r="AQ37" i="19"/>
  <c r="AP37" i="19"/>
  <c r="AN37" i="19" s="1"/>
  <c r="AO37" i="19"/>
  <c r="AH37" i="19"/>
  <c r="AE37" i="19"/>
  <c r="AD37" i="19"/>
  <c r="AC37" i="19"/>
  <c r="V37" i="19"/>
  <c r="S37" i="19"/>
  <c r="R37" i="19"/>
  <c r="P37" i="19" s="1"/>
  <c r="J37" i="19"/>
  <c r="G37" i="19"/>
  <c r="F37" i="19"/>
  <c r="E37" i="19"/>
  <c r="AT36" i="19"/>
  <c r="AQ36" i="19"/>
  <c r="AP36" i="19"/>
  <c r="AO36" i="19"/>
  <c r="AN36" i="19"/>
  <c r="AH36" i="19"/>
  <c r="AE36" i="19"/>
  <c r="AD36" i="19"/>
  <c r="AC36" i="19"/>
  <c r="V36" i="19"/>
  <c r="S36" i="19"/>
  <c r="R36" i="19"/>
  <c r="P36" i="19" s="1"/>
  <c r="J36" i="19"/>
  <c r="G36" i="19"/>
  <c r="F36" i="19"/>
  <c r="E36" i="19"/>
  <c r="D36" i="19"/>
  <c r="AP35" i="19"/>
  <c r="AO35" i="19"/>
  <c r="AD35" i="19"/>
  <c r="AC35" i="19"/>
  <c r="R35" i="19"/>
  <c r="J35" i="19"/>
  <c r="G35" i="19"/>
  <c r="F35" i="19"/>
  <c r="E35" i="19"/>
  <c r="AP34" i="19"/>
  <c r="AO34" i="19"/>
  <c r="AD34" i="19"/>
  <c r="AC34" i="19"/>
  <c r="J34" i="19"/>
  <c r="G34" i="19"/>
  <c r="F34" i="19"/>
  <c r="E34" i="19"/>
  <c r="AP33" i="19"/>
  <c r="AO33" i="19"/>
  <c r="AD33" i="19"/>
  <c r="AC33" i="19"/>
  <c r="J33" i="19"/>
  <c r="G33" i="19"/>
  <c r="F33" i="19"/>
  <c r="E33" i="19"/>
  <c r="AP32" i="19"/>
  <c r="AO32" i="19"/>
  <c r="AD32" i="19"/>
  <c r="AC32" i="19"/>
  <c r="J32" i="19"/>
  <c r="G32" i="19"/>
  <c r="F32" i="19"/>
  <c r="E32" i="19"/>
  <c r="AP31" i="19"/>
  <c r="AO31" i="19"/>
  <c r="AD31" i="19"/>
  <c r="AC31" i="19"/>
  <c r="F31" i="19"/>
  <c r="E31" i="19"/>
  <c r="AP30" i="19"/>
  <c r="AO30" i="19"/>
  <c r="AD30" i="19"/>
  <c r="AC30" i="19"/>
  <c r="F30" i="19"/>
  <c r="E30" i="19"/>
  <c r="AV29" i="19"/>
  <c r="AU29" i="19"/>
  <c r="AS29" i="19"/>
  <c r="AR29" i="19"/>
  <c r="AE29" i="19"/>
  <c r="X29" i="19"/>
  <c r="V29" i="19" s="1"/>
  <c r="S29" i="19"/>
  <c r="L29" i="19"/>
  <c r="K29" i="19"/>
  <c r="I29" i="19"/>
  <c r="H29" i="19"/>
  <c r="AQ28" i="19"/>
  <c r="AP28" i="19"/>
  <c r="AO28" i="19"/>
  <c r="AH28" i="19"/>
  <c r="AE28" i="19"/>
  <c r="AD28" i="19"/>
  <c r="AC28" i="19"/>
  <c r="V28" i="19"/>
  <c r="S28" i="19"/>
  <c r="R28" i="19"/>
  <c r="P28" i="19" s="1"/>
  <c r="J28" i="19"/>
  <c r="G28" i="19"/>
  <c r="F28" i="19"/>
  <c r="E28" i="19"/>
  <c r="AT27" i="19"/>
  <c r="AQ27" i="19"/>
  <c r="AP27" i="19"/>
  <c r="AO27" i="19"/>
  <c r="AH27" i="19"/>
  <c r="AE27" i="19"/>
  <c r="AD27" i="19"/>
  <c r="AC27" i="19"/>
  <c r="V27" i="19"/>
  <c r="S27" i="19"/>
  <c r="R27" i="19"/>
  <c r="P27" i="19" s="1"/>
  <c r="J27" i="19"/>
  <c r="G27" i="19"/>
  <c r="F27" i="19"/>
  <c r="E27" i="19"/>
  <c r="AT26" i="19"/>
  <c r="AQ26" i="19"/>
  <c r="AP26" i="19"/>
  <c r="AO26" i="19"/>
  <c r="AH26" i="19"/>
  <c r="AE26" i="19"/>
  <c r="AD26" i="19"/>
  <c r="AC26" i="19"/>
  <c r="V26" i="19"/>
  <c r="S26" i="19"/>
  <c r="R26" i="19"/>
  <c r="P26" i="19" s="1"/>
  <c r="J26" i="19"/>
  <c r="G26" i="19"/>
  <c r="F26" i="19"/>
  <c r="E26" i="19"/>
  <c r="AT25" i="19"/>
  <c r="AQ25" i="19"/>
  <c r="AP25" i="19"/>
  <c r="AO25" i="19"/>
  <c r="AH25" i="19"/>
  <c r="AE25" i="19"/>
  <c r="AD25" i="19"/>
  <c r="AC25" i="19"/>
  <c r="V25" i="19"/>
  <c r="S25" i="19"/>
  <c r="R25" i="19"/>
  <c r="P25" i="19" s="1"/>
  <c r="J25" i="19"/>
  <c r="G25" i="19"/>
  <c r="F25" i="19"/>
  <c r="E25" i="19"/>
  <c r="AT24" i="19"/>
  <c r="AQ24" i="19"/>
  <c r="AP24" i="19"/>
  <c r="AO24" i="19"/>
  <c r="AH24" i="19"/>
  <c r="AE24" i="19"/>
  <c r="AD24" i="19"/>
  <c r="AC24" i="19"/>
  <c r="V24" i="19"/>
  <c r="S24" i="19"/>
  <c r="R24" i="19"/>
  <c r="P24" i="19" s="1"/>
  <c r="J24" i="19"/>
  <c r="G24" i="19"/>
  <c r="F24" i="19"/>
  <c r="E24" i="19"/>
  <c r="AT23" i="19"/>
  <c r="AQ23" i="19"/>
  <c r="AP23" i="19"/>
  <c r="AO23" i="19"/>
  <c r="AH23" i="19"/>
  <c r="AE23" i="19"/>
  <c r="AD23" i="19"/>
  <c r="AC23" i="19"/>
  <c r="V23" i="19"/>
  <c r="S23" i="19"/>
  <c r="R23" i="19"/>
  <c r="P23" i="19" s="1"/>
  <c r="J23" i="19"/>
  <c r="G23" i="19"/>
  <c r="F23" i="19"/>
  <c r="E23" i="19"/>
  <c r="AT22" i="19"/>
  <c r="AQ22" i="19"/>
  <c r="AP22" i="19"/>
  <c r="AO22" i="19"/>
  <c r="AH22" i="19"/>
  <c r="AE22" i="19"/>
  <c r="AD22" i="19"/>
  <c r="AC22" i="19"/>
  <c r="V22" i="19"/>
  <c r="S22" i="19"/>
  <c r="R22" i="19"/>
  <c r="P22" i="19" s="1"/>
  <c r="J22" i="19"/>
  <c r="G22" i="19"/>
  <c r="F22" i="19"/>
  <c r="E22" i="19"/>
  <c r="AT21" i="19"/>
  <c r="AQ21" i="19"/>
  <c r="AP21" i="19"/>
  <c r="AO21" i="19"/>
  <c r="AH21" i="19"/>
  <c r="AE21" i="19"/>
  <c r="AD21" i="19"/>
  <c r="AC21" i="19"/>
  <c r="AB21" i="19"/>
  <c r="V21" i="19"/>
  <c r="S21" i="19"/>
  <c r="R21" i="19"/>
  <c r="P21" i="19" s="1"/>
  <c r="J21" i="19"/>
  <c r="G21" i="19"/>
  <c r="F21" i="19"/>
  <c r="E21" i="19"/>
  <c r="AT20" i="19"/>
  <c r="AQ20" i="19"/>
  <c r="AP20" i="19"/>
  <c r="AO20" i="19"/>
  <c r="AH20" i="19"/>
  <c r="AE20" i="19"/>
  <c r="AD20" i="19"/>
  <c r="AC20" i="19"/>
  <c r="AB20" i="19" s="1"/>
  <c r="V20" i="19"/>
  <c r="S20" i="19"/>
  <c r="R20" i="19"/>
  <c r="P20" i="19" s="1"/>
  <c r="J20" i="19"/>
  <c r="G20" i="19"/>
  <c r="F20" i="19"/>
  <c r="E20" i="19"/>
  <c r="AT19" i="19"/>
  <c r="AQ19" i="19"/>
  <c r="AP19" i="19"/>
  <c r="AO19" i="19"/>
  <c r="AH19" i="19"/>
  <c r="AE19" i="19"/>
  <c r="AD19" i="19"/>
  <c r="AC19" i="19"/>
  <c r="V19" i="19"/>
  <c r="S19" i="19"/>
  <c r="R19" i="19"/>
  <c r="P19" i="19" s="1"/>
  <c r="J19" i="19"/>
  <c r="G19" i="19"/>
  <c r="F19" i="19"/>
  <c r="D19" i="19" s="1"/>
  <c r="E19" i="19"/>
  <c r="AT18" i="19"/>
  <c r="AQ18" i="19"/>
  <c r="AP18" i="19"/>
  <c r="AO18" i="19"/>
  <c r="AH18" i="19"/>
  <c r="AE18" i="19"/>
  <c r="AD18" i="19"/>
  <c r="AC18" i="19"/>
  <c r="AB18" i="19" s="1"/>
  <c r="V18" i="19"/>
  <c r="S18" i="19"/>
  <c r="R18" i="19"/>
  <c r="P18" i="19" s="1"/>
  <c r="J18" i="19"/>
  <c r="G18" i="19"/>
  <c r="F18" i="19"/>
  <c r="E18" i="19"/>
  <c r="AT17" i="19"/>
  <c r="AQ17" i="19"/>
  <c r="AP17" i="19"/>
  <c r="AO17" i="19"/>
  <c r="AH17" i="19"/>
  <c r="AE17" i="19"/>
  <c r="AD17" i="19"/>
  <c r="AC17" i="19"/>
  <c r="V17" i="19"/>
  <c r="S17" i="19"/>
  <c r="R17" i="19"/>
  <c r="P17" i="19" s="1"/>
  <c r="J17" i="19"/>
  <c r="G17" i="19"/>
  <c r="F17" i="19"/>
  <c r="E17" i="19"/>
  <c r="AT16" i="19"/>
  <c r="AQ16" i="19"/>
  <c r="AP16" i="19"/>
  <c r="AO16" i="19"/>
  <c r="AN16" i="19" s="1"/>
  <c r="AH16" i="19"/>
  <c r="AE16" i="19"/>
  <c r="AD16" i="19"/>
  <c r="AC16" i="19"/>
  <c r="V16" i="19"/>
  <c r="S16" i="19"/>
  <c r="R16" i="19"/>
  <c r="P16" i="19" s="1"/>
  <c r="J16" i="19"/>
  <c r="G16" i="19"/>
  <c r="F16" i="19"/>
  <c r="E16" i="19"/>
  <c r="AT15" i="19"/>
  <c r="AQ15" i="19"/>
  <c r="AP15" i="19"/>
  <c r="AO15" i="19"/>
  <c r="AH15" i="19"/>
  <c r="AE15" i="19"/>
  <c r="AD15" i="19"/>
  <c r="AC15" i="19"/>
  <c r="V15" i="19"/>
  <c r="S15" i="19"/>
  <c r="R15" i="19"/>
  <c r="P15" i="19" s="1"/>
  <c r="J15" i="19"/>
  <c r="G15" i="19"/>
  <c r="F15" i="19"/>
  <c r="E15" i="19"/>
  <c r="AT14" i="19"/>
  <c r="AQ14" i="19"/>
  <c r="AP14" i="19"/>
  <c r="AO14" i="19"/>
  <c r="AH14" i="19"/>
  <c r="AE14" i="19"/>
  <c r="AD14" i="19"/>
  <c r="AC14" i="19"/>
  <c r="V14" i="19"/>
  <c r="S14" i="19"/>
  <c r="R14" i="19"/>
  <c r="P14" i="19" s="1"/>
  <c r="J14" i="19"/>
  <c r="G14" i="19"/>
  <c r="F14" i="19"/>
  <c r="E14" i="19"/>
  <c r="AT13" i="19"/>
  <c r="AQ13" i="19"/>
  <c r="AP13" i="19"/>
  <c r="AO13" i="19"/>
  <c r="AH13" i="19"/>
  <c r="AE13" i="19"/>
  <c r="AD13" i="19"/>
  <c r="AC13" i="19"/>
  <c r="V13" i="19"/>
  <c r="S13" i="19"/>
  <c r="R13" i="19"/>
  <c r="P13" i="19" s="1"/>
  <c r="J13" i="19"/>
  <c r="G13" i="19"/>
  <c r="F13" i="19"/>
  <c r="E13" i="19"/>
  <c r="AT12" i="19"/>
  <c r="AQ12" i="19"/>
  <c r="AP12" i="19"/>
  <c r="AO12" i="19"/>
  <c r="AH12" i="19"/>
  <c r="AE12" i="19"/>
  <c r="AD12" i="19"/>
  <c r="AC12" i="19"/>
  <c r="V12" i="19"/>
  <c r="S12" i="19"/>
  <c r="R12" i="19"/>
  <c r="P12" i="19" s="1"/>
  <c r="J12" i="19"/>
  <c r="G12" i="19"/>
  <c r="F12" i="19"/>
  <c r="E12" i="19"/>
  <c r="AT11" i="19"/>
  <c r="AQ11" i="19"/>
  <c r="AP11" i="19"/>
  <c r="AO11" i="19"/>
  <c r="AH11" i="19"/>
  <c r="AE11" i="19"/>
  <c r="AD11" i="19"/>
  <c r="AC11" i="19"/>
  <c r="V11" i="19"/>
  <c r="S11" i="19"/>
  <c r="R11" i="19"/>
  <c r="P11" i="19" s="1"/>
  <c r="J11" i="19"/>
  <c r="G11" i="19"/>
  <c r="F11" i="19"/>
  <c r="E11" i="19"/>
  <c r="AT10" i="19"/>
  <c r="AQ10" i="19"/>
  <c r="AP10" i="19"/>
  <c r="AO10" i="19"/>
  <c r="AH10" i="19"/>
  <c r="AE10" i="19"/>
  <c r="AD10" i="19"/>
  <c r="AC10" i="19"/>
  <c r="V10" i="19"/>
  <c r="S10" i="19"/>
  <c r="R10" i="19"/>
  <c r="P10" i="19" s="1"/>
  <c r="J10" i="19"/>
  <c r="G10" i="19"/>
  <c r="F10" i="19"/>
  <c r="E10" i="19"/>
  <c r="AT9" i="19"/>
  <c r="AQ9" i="19"/>
  <c r="AP9" i="19"/>
  <c r="AO9" i="19"/>
  <c r="AH9" i="19"/>
  <c r="AE9" i="19"/>
  <c r="AD9" i="19"/>
  <c r="AC9" i="19"/>
  <c r="V9" i="19"/>
  <c r="S9" i="19"/>
  <c r="R9" i="19"/>
  <c r="P9" i="19" s="1"/>
  <c r="J9" i="19"/>
  <c r="G9" i="19"/>
  <c r="F9" i="19"/>
  <c r="E9" i="19"/>
  <c r="AT8" i="19"/>
  <c r="AQ8" i="19"/>
  <c r="AP8" i="19"/>
  <c r="AN8" i="19" s="1"/>
  <c r="AO8" i="19"/>
  <c r="AH8" i="19"/>
  <c r="AE8" i="19"/>
  <c r="AD8" i="19"/>
  <c r="AC8" i="19"/>
  <c r="V8" i="19"/>
  <c r="S8" i="19"/>
  <c r="R8" i="19"/>
  <c r="P8" i="19" s="1"/>
  <c r="J8" i="19"/>
  <c r="G8" i="19"/>
  <c r="F8" i="19"/>
  <c r="D8" i="19" s="1"/>
  <c r="E8" i="19"/>
  <c r="AT7" i="19"/>
  <c r="AQ7" i="19"/>
  <c r="AP7" i="19"/>
  <c r="AO7" i="19"/>
  <c r="AH7" i="19"/>
  <c r="AE7" i="19"/>
  <c r="AD7" i="19"/>
  <c r="AC7" i="19"/>
  <c r="V7" i="19"/>
  <c r="S7" i="19"/>
  <c r="R7" i="19"/>
  <c r="P7" i="19" s="1"/>
  <c r="J7" i="19"/>
  <c r="G7" i="19"/>
  <c r="F7" i="19"/>
  <c r="E7" i="19"/>
  <c r="AV6" i="19"/>
  <c r="AU6" i="19"/>
  <c r="AS6" i="19"/>
  <c r="AQ6" i="19" s="1"/>
  <c r="AR6" i="19"/>
  <c r="AH6" i="19"/>
  <c r="AG6" i="19"/>
  <c r="AF6" i="19"/>
  <c r="X6" i="19"/>
  <c r="V6" i="19"/>
  <c r="U6" i="19"/>
  <c r="S6" i="19" s="1"/>
  <c r="L6" i="19"/>
  <c r="K6" i="19"/>
  <c r="I6" i="19"/>
  <c r="H6" i="19"/>
  <c r="AN3" i="19"/>
  <c r="AB3" i="19"/>
  <c r="P3" i="19"/>
  <c r="AN14" i="19" l="1"/>
  <c r="AQ29" i="19"/>
  <c r="D35" i="19"/>
  <c r="G29" i="19"/>
  <c r="D33" i="19"/>
  <c r="D34" i="19"/>
  <c r="AN22" i="19"/>
  <c r="AN17" i="19"/>
  <c r="AN19" i="19"/>
  <c r="AP6" i="19"/>
  <c r="AN27" i="19"/>
  <c r="D18" i="19"/>
  <c r="D11" i="19"/>
  <c r="D21" i="19"/>
  <c r="D10" i="19"/>
  <c r="D27" i="19"/>
  <c r="G6" i="19"/>
  <c r="D16" i="19"/>
  <c r="D26" i="19"/>
  <c r="D25" i="19"/>
  <c r="D23" i="19"/>
  <c r="D24" i="19"/>
  <c r="D32" i="19"/>
  <c r="D38" i="19"/>
  <c r="R6" i="19"/>
  <c r="P6" i="19" s="1"/>
  <c r="AN9" i="19"/>
  <c r="AN11" i="19"/>
  <c r="AN13" i="19"/>
  <c r="AN25" i="19"/>
  <c r="AN24" i="19"/>
  <c r="AN21" i="19"/>
  <c r="AB38" i="19"/>
  <c r="AB36" i="19"/>
  <c r="AB26" i="19"/>
  <c r="AB23" i="19"/>
  <c r="AE6" i="19"/>
  <c r="AT29" i="19"/>
  <c r="AN38" i="19"/>
  <c r="AO29" i="19"/>
  <c r="AP29" i="19"/>
  <c r="AN29" i="19" s="1"/>
  <c r="AO6" i="19"/>
  <c r="AT6" i="19"/>
  <c r="AN15" i="19"/>
  <c r="AN7" i="19"/>
  <c r="AN10" i="19"/>
  <c r="AN12" i="19"/>
  <c r="AN18" i="19"/>
  <c r="AN20" i="19"/>
  <c r="AN23" i="19"/>
  <c r="AN26" i="19"/>
  <c r="AN28" i="19"/>
  <c r="AH29" i="19"/>
  <c r="AC29" i="19"/>
  <c r="AD29" i="19"/>
  <c r="AB37" i="19"/>
  <c r="AB13" i="19"/>
  <c r="AB10" i="19"/>
  <c r="AC6" i="19"/>
  <c r="AB16" i="19"/>
  <c r="AB8" i="19"/>
  <c r="AB15" i="19"/>
  <c r="AB7" i="19"/>
  <c r="AB11" i="19"/>
  <c r="AB24" i="19"/>
  <c r="AD6" i="19"/>
  <c r="AB25" i="19"/>
  <c r="AB9" i="19"/>
  <c r="AB12" i="19"/>
  <c r="AB14" i="19"/>
  <c r="AB27" i="19"/>
  <c r="AB28" i="19"/>
  <c r="AB17" i="19"/>
  <c r="AB19" i="19"/>
  <c r="AB22" i="19"/>
  <c r="J29" i="19"/>
  <c r="F29" i="19"/>
  <c r="D37" i="19"/>
  <c r="D12" i="19"/>
  <c r="D13" i="19"/>
  <c r="D15" i="19"/>
  <c r="D7" i="19"/>
  <c r="F6" i="19"/>
  <c r="J6" i="19"/>
  <c r="D22" i="19"/>
  <c r="D9" i="19"/>
  <c r="D14" i="19"/>
  <c r="D28" i="19"/>
  <c r="E6" i="19"/>
  <c r="D17" i="19"/>
  <c r="D20" i="19"/>
  <c r="E29" i="19"/>
  <c r="R29" i="19"/>
  <c r="P29" i="19" s="1"/>
  <c r="AH28" i="18"/>
  <c r="AH27" i="18"/>
  <c r="AN6" i="19" l="1"/>
  <c r="D29" i="19"/>
  <c r="AB29" i="19"/>
  <c r="AB6" i="19"/>
  <c r="D6" i="19"/>
  <c r="AJ6" i="18"/>
  <c r="AI6" i="18"/>
  <c r="X6" i="18"/>
  <c r="U6" i="18"/>
  <c r="AG6" i="18"/>
  <c r="AT38" i="18" l="1"/>
  <c r="AQ38" i="18"/>
  <c r="AP38" i="18"/>
  <c r="AO38" i="18"/>
  <c r="AH38" i="18"/>
  <c r="AE38" i="18"/>
  <c r="AD38" i="18"/>
  <c r="AC38" i="18"/>
  <c r="V38" i="18"/>
  <c r="S38" i="18"/>
  <c r="R38" i="18"/>
  <c r="P38" i="18" s="1"/>
  <c r="J38" i="18"/>
  <c r="G38" i="18"/>
  <c r="F38" i="18"/>
  <c r="E38" i="18"/>
  <c r="AT37" i="18"/>
  <c r="AQ37" i="18"/>
  <c r="AP37" i="18"/>
  <c r="AO37" i="18"/>
  <c r="AH37" i="18"/>
  <c r="AE37" i="18"/>
  <c r="AD37" i="18"/>
  <c r="AC37" i="18"/>
  <c r="V37" i="18"/>
  <c r="S37" i="18"/>
  <c r="R37" i="18"/>
  <c r="P37" i="18" s="1"/>
  <c r="J37" i="18"/>
  <c r="G37" i="18"/>
  <c r="F37" i="18"/>
  <c r="E37" i="18"/>
  <c r="AT36" i="18"/>
  <c r="AQ36" i="18"/>
  <c r="AP36" i="18"/>
  <c r="AO36" i="18"/>
  <c r="AN36" i="18"/>
  <c r="AH36" i="18"/>
  <c r="AE36" i="18"/>
  <c r="AD36" i="18"/>
  <c r="AC36" i="18"/>
  <c r="V36" i="18"/>
  <c r="S36" i="18"/>
  <c r="R36" i="18"/>
  <c r="P36" i="18" s="1"/>
  <c r="J36" i="18"/>
  <c r="G36" i="18"/>
  <c r="F36" i="18"/>
  <c r="E36" i="18"/>
  <c r="AT35" i="18"/>
  <c r="AQ35" i="18"/>
  <c r="AP35" i="18"/>
  <c r="AO35" i="18"/>
  <c r="AD35" i="18"/>
  <c r="AC35" i="18"/>
  <c r="V35" i="18"/>
  <c r="S35" i="18"/>
  <c r="R35" i="18"/>
  <c r="P35" i="18" s="1"/>
  <c r="J35" i="18"/>
  <c r="G35" i="18"/>
  <c r="F35" i="18"/>
  <c r="E35" i="18"/>
  <c r="AP34" i="18"/>
  <c r="AO34" i="18"/>
  <c r="AD34" i="18"/>
  <c r="AC34" i="18"/>
  <c r="J34" i="18"/>
  <c r="G34" i="18"/>
  <c r="F34" i="18"/>
  <c r="E34" i="18"/>
  <c r="AP33" i="18"/>
  <c r="AO33" i="18"/>
  <c r="AD33" i="18"/>
  <c r="AC33" i="18"/>
  <c r="J33" i="18"/>
  <c r="G33" i="18"/>
  <c r="F33" i="18"/>
  <c r="E33" i="18"/>
  <c r="AP32" i="18"/>
  <c r="AO32" i="18"/>
  <c r="AD32" i="18"/>
  <c r="AC32" i="18"/>
  <c r="J32" i="18"/>
  <c r="G32" i="18"/>
  <c r="F32" i="18"/>
  <c r="E32" i="18"/>
  <c r="AP31" i="18"/>
  <c r="AO31" i="18"/>
  <c r="AD31" i="18"/>
  <c r="AC31" i="18"/>
  <c r="J31" i="18"/>
  <c r="F31" i="18"/>
  <c r="E31" i="18"/>
  <c r="D31" i="18"/>
  <c r="AP30" i="18"/>
  <c r="AO30" i="18"/>
  <c r="AD30" i="18"/>
  <c r="AC30" i="18"/>
  <c r="F30" i="18"/>
  <c r="E30" i="18"/>
  <c r="AV29" i="18"/>
  <c r="AU29" i="18"/>
  <c r="AS29" i="18"/>
  <c r="AR29" i="18"/>
  <c r="AJ29" i="18"/>
  <c r="AI29" i="18"/>
  <c r="AG29" i="18"/>
  <c r="AF29" i="18"/>
  <c r="X29" i="18"/>
  <c r="V29" i="18" s="1"/>
  <c r="U29" i="18"/>
  <c r="S29" i="18" s="1"/>
  <c r="L29" i="18"/>
  <c r="K29" i="18"/>
  <c r="J29" i="18"/>
  <c r="I29" i="18"/>
  <c r="H29" i="18"/>
  <c r="AQ28" i="18"/>
  <c r="AP28" i="18"/>
  <c r="AO28" i="18"/>
  <c r="AE28" i="18"/>
  <c r="AD28" i="18"/>
  <c r="AC28" i="18"/>
  <c r="V28" i="18"/>
  <c r="S28" i="18"/>
  <c r="R28" i="18"/>
  <c r="P28" i="18" s="1"/>
  <c r="J28" i="18"/>
  <c r="G28" i="18"/>
  <c r="F28" i="18"/>
  <c r="E28" i="18"/>
  <c r="AT27" i="18"/>
  <c r="AQ27" i="18"/>
  <c r="AP27" i="18"/>
  <c r="AO27" i="18"/>
  <c r="AE27" i="18"/>
  <c r="AD27" i="18"/>
  <c r="AC27" i="18"/>
  <c r="V27" i="18"/>
  <c r="S27" i="18"/>
  <c r="R27" i="18"/>
  <c r="P27" i="18"/>
  <c r="J27" i="18"/>
  <c r="G27" i="18"/>
  <c r="F27" i="18"/>
  <c r="E27" i="18"/>
  <c r="AT26" i="18"/>
  <c r="AQ26" i="18"/>
  <c r="AP26" i="18"/>
  <c r="AO26" i="18"/>
  <c r="AH26" i="18"/>
  <c r="AE26" i="18"/>
  <c r="AD26" i="18"/>
  <c r="AC26" i="18"/>
  <c r="V26" i="18"/>
  <c r="S26" i="18"/>
  <c r="R26" i="18"/>
  <c r="P26" i="18"/>
  <c r="J26" i="18"/>
  <c r="G26" i="18"/>
  <c r="F26" i="18"/>
  <c r="E26" i="18"/>
  <c r="AT25" i="18"/>
  <c r="AQ25" i="18"/>
  <c r="AP25" i="18"/>
  <c r="AO25" i="18"/>
  <c r="AH25" i="18"/>
  <c r="AE25" i="18"/>
  <c r="AD25" i="18"/>
  <c r="AC25" i="18"/>
  <c r="V25" i="18"/>
  <c r="S25" i="18"/>
  <c r="R25" i="18"/>
  <c r="P25" i="18" s="1"/>
  <c r="J25" i="18"/>
  <c r="G25" i="18"/>
  <c r="F25" i="18"/>
  <c r="E25" i="18"/>
  <c r="AT24" i="18"/>
  <c r="AQ24" i="18"/>
  <c r="AP24" i="18"/>
  <c r="AO24" i="18"/>
  <c r="AN24" i="18"/>
  <c r="AH24" i="18"/>
  <c r="AE24" i="18"/>
  <c r="AD24" i="18"/>
  <c r="AC24" i="18"/>
  <c r="V24" i="18"/>
  <c r="S24" i="18"/>
  <c r="R24" i="18"/>
  <c r="P24" i="18" s="1"/>
  <c r="J24" i="18"/>
  <c r="G24" i="18"/>
  <c r="F24" i="18"/>
  <c r="E24" i="18"/>
  <c r="D24" i="18" s="1"/>
  <c r="AT23" i="18"/>
  <c r="AQ23" i="18"/>
  <c r="AP23" i="18"/>
  <c r="AO23" i="18"/>
  <c r="AN23" i="18"/>
  <c r="AH23" i="18"/>
  <c r="AE23" i="18"/>
  <c r="AD23" i="18"/>
  <c r="AC23" i="18"/>
  <c r="V23" i="18"/>
  <c r="S23" i="18"/>
  <c r="R23" i="18"/>
  <c r="P23" i="18" s="1"/>
  <c r="J23" i="18"/>
  <c r="G23" i="18"/>
  <c r="F23" i="18"/>
  <c r="E23" i="18"/>
  <c r="AT22" i="18"/>
  <c r="AQ22" i="18"/>
  <c r="AP22" i="18"/>
  <c r="AO22" i="18"/>
  <c r="AH22" i="18"/>
  <c r="AE22" i="18"/>
  <c r="AD22" i="18"/>
  <c r="AC22" i="18"/>
  <c r="AB22" i="18"/>
  <c r="V22" i="18"/>
  <c r="S22" i="18"/>
  <c r="R22" i="18"/>
  <c r="P22" i="18" s="1"/>
  <c r="J22" i="18"/>
  <c r="G22" i="18"/>
  <c r="F22" i="18"/>
  <c r="E22" i="18"/>
  <c r="AT21" i="18"/>
  <c r="AQ21" i="18"/>
  <c r="AP21" i="18"/>
  <c r="AO21" i="18"/>
  <c r="AH21" i="18"/>
  <c r="AE21" i="18"/>
  <c r="AD21" i="18"/>
  <c r="AC21" i="18"/>
  <c r="V21" i="18"/>
  <c r="S21" i="18"/>
  <c r="R21" i="18"/>
  <c r="P21" i="18" s="1"/>
  <c r="J21" i="18"/>
  <c r="G21" i="18"/>
  <c r="F21" i="18"/>
  <c r="E21" i="18"/>
  <c r="AT20" i="18"/>
  <c r="AQ20" i="18"/>
  <c r="AP20" i="18"/>
  <c r="AO20" i="18"/>
  <c r="AH20" i="18"/>
  <c r="AE20" i="18"/>
  <c r="AD20" i="18"/>
  <c r="AC20" i="18"/>
  <c r="AB20" i="18" s="1"/>
  <c r="V20" i="18"/>
  <c r="S20" i="18"/>
  <c r="R20" i="18"/>
  <c r="P20" i="18" s="1"/>
  <c r="J20" i="18"/>
  <c r="G20" i="18"/>
  <c r="F20" i="18"/>
  <c r="E20" i="18"/>
  <c r="AT19" i="18"/>
  <c r="AQ19" i="18"/>
  <c r="AP19" i="18"/>
  <c r="AO19" i="18"/>
  <c r="AH19" i="18"/>
  <c r="AE19" i="18"/>
  <c r="AD19" i="18"/>
  <c r="AC19" i="18"/>
  <c r="V19" i="18"/>
  <c r="S19" i="18"/>
  <c r="R19" i="18"/>
  <c r="P19" i="18" s="1"/>
  <c r="J19" i="18"/>
  <c r="G19" i="18"/>
  <c r="F19" i="18"/>
  <c r="E19" i="18"/>
  <c r="AT18" i="18"/>
  <c r="AQ18" i="18"/>
  <c r="AP18" i="18"/>
  <c r="AO18" i="18"/>
  <c r="AH18" i="18"/>
  <c r="AE18" i="18"/>
  <c r="AD18" i="18"/>
  <c r="AC18" i="18"/>
  <c r="V18" i="18"/>
  <c r="S18" i="18"/>
  <c r="R18" i="18"/>
  <c r="P18" i="18" s="1"/>
  <c r="J18" i="18"/>
  <c r="G18" i="18"/>
  <c r="F18" i="18"/>
  <c r="D18" i="18" s="1"/>
  <c r="E18" i="18"/>
  <c r="AT17" i="18"/>
  <c r="AQ17" i="18"/>
  <c r="AP17" i="18"/>
  <c r="AO17" i="18"/>
  <c r="AH17" i="18"/>
  <c r="AE17" i="18"/>
  <c r="AD17" i="18"/>
  <c r="AB17" i="18" s="1"/>
  <c r="AC17" i="18"/>
  <c r="V17" i="18"/>
  <c r="S17" i="18"/>
  <c r="R17" i="18"/>
  <c r="P17" i="18" s="1"/>
  <c r="J17" i="18"/>
  <c r="G17" i="18"/>
  <c r="F17" i="18"/>
  <c r="E17" i="18"/>
  <c r="AT16" i="18"/>
  <c r="AQ16" i="18"/>
  <c r="AP16" i="18"/>
  <c r="AN16" i="18" s="1"/>
  <c r="AO16" i="18"/>
  <c r="AH16" i="18"/>
  <c r="AE16" i="18"/>
  <c r="AD16" i="18"/>
  <c r="AC16" i="18"/>
  <c r="V16" i="18"/>
  <c r="S16" i="18"/>
  <c r="R16" i="18"/>
  <c r="P16" i="18" s="1"/>
  <c r="J16" i="18"/>
  <c r="G16" i="18"/>
  <c r="F16" i="18"/>
  <c r="E16" i="18"/>
  <c r="AT15" i="18"/>
  <c r="AQ15" i="18"/>
  <c r="AP15" i="18"/>
  <c r="AO15" i="18"/>
  <c r="AH15" i="18"/>
  <c r="AE15" i="18"/>
  <c r="AD15" i="18"/>
  <c r="AC15" i="18"/>
  <c r="V15" i="18"/>
  <c r="S15" i="18"/>
  <c r="R15" i="18"/>
  <c r="P15" i="18" s="1"/>
  <c r="J15" i="18"/>
  <c r="G15" i="18"/>
  <c r="F15" i="18"/>
  <c r="E15" i="18"/>
  <c r="AT14" i="18"/>
  <c r="AQ14" i="18"/>
  <c r="AP14" i="18"/>
  <c r="AO14" i="18"/>
  <c r="AH14" i="18"/>
  <c r="AE14" i="18"/>
  <c r="AD14" i="18"/>
  <c r="AC14" i="18"/>
  <c r="V14" i="18"/>
  <c r="S14" i="18"/>
  <c r="R14" i="18"/>
  <c r="P14" i="18" s="1"/>
  <c r="J14" i="18"/>
  <c r="G14" i="18"/>
  <c r="F14" i="18"/>
  <c r="E14" i="18"/>
  <c r="AT13" i="18"/>
  <c r="AQ13" i="18"/>
  <c r="AP13" i="18"/>
  <c r="AO13" i="18"/>
  <c r="AH13" i="18"/>
  <c r="AE13" i="18"/>
  <c r="AD13" i="18"/>
  <c r="AC13" i="18"/>
  <c r="V13" i="18"/>
  <c r="S13" i="18"/>
  <c r="R13" i="18"/>
  <c r="P13" i="18" s="1"/>
  <c r="J13" i="18"/>
  <c r="G13" i="18"/>
  <c r="F13" i="18"/>
  <c r="E13" i="18"/>
  <c r="AT12" i="18"/>
  <c r="AQ12" i="18"/>
  <c r="AP12" i="18"/>
  <c r="AO12" i="18"/>
  <c r="AH12" i="18"/>
  <c r="AE12" i="18"/>
  <c r="AD12" i="18"/>
  <c r="AC12" i="18"/>
  <c r="V12" i="18"/>
  <c r="S12" i="18"/>
  <c r="R12" i="18"/>
  <c r="P12" i="18" s="1"/>
  <c r="J12" i="18"/>
  <c r="G12" i="18"/>
  <c r="F12" i="18"/>
  <c r="E12" i="18"/>
  <c r="AT11" i="18"/>
  <c r="AQ11" i="18"/>
  <c r="AP11" i="18"/>
  <c r="AO11" i="18"/>
  <c r="AH11" i="18"/>
  <c r="AE11" i="18"/>
  <c r="AD11" i="18"/>
  <c r="AC11" i="18"/>
  <c r="V11" i="18"/>
  <c r="S11" i="18"/>
  <c r="R11" i="18"/>
  <c r="P11" i="18" s="1"/>
  <c r="J11" i="18"/>
  <c r="G11" i="18"/>
  <c r="F11" i="18"/>
  <c r="E11" i="18"/>
  <c r="AT10" i="18"/>
  <c r="AQ10" i="18"/>
  <c r="AP10" i="18"/>
  <c r="AO10" i="18"/>
  <c r="AH10" i="18"/>
  <c r="AE10" i="18"/>
  <c r="AD10" i="18"/>
  <c r="AC10" i="18"/>
  <c r="V10" i="18"/>
  <c r="S10" i="18"/>
  <c r="R10" i="18"/>
  <c r="P10" i="18" s="1"/>
  <c r="J10" i="18"/>
  <c r="G10" i="18"/>
  <c r="F10" i="18"/>
  <c r="E10" i="18"/>
  <c r="AT9" i="18"/>
  <c r="AQ9" i="18"/>
  <c r="AP9" i="18"/>
  <c r="AO9" i="18"/>
  <c r="AH9" i="18"/>
  <c r="AE9" i="18"/>
  <c r="AD9" i="18"/>
  <c r="AC9" i="18"/>
  <c r="V9" i="18"/>
  <c r="S9" i="18"/>
  <c r="R9" i="18"/>
  <c r="P9" i="18" s="1"/>
  <c r="J9" i="18"/>
  <c r="G9" i="18"/>
  <c r="F9" i="18"/>
  <c r="E9" i="18"/>
  <c r="AT8" i="18"/>
  <c r="AQ8" i="18"/>
  <c r="AP8" i="18"/>
  <c r="AO8" i="18"/>
  <c r="AH8" i="18"/>
  <c r="AE8" i="18"/>
  <c r="AD8" i="18"/>
  <c r="AC8" i="18"/>
  <c r="V8" i="18"/>
  <c r="S8" i="18"/>
  <c r="R8" i="18"/>
  <c r="P8" i="18" s="1"/>
  <c r="J8" i="18"/>
  <c r="G8" i="18"/>
  <c r="F8" i="18"/>
  <c r="E8" i="18"/>
  <c r="AT7" i="18"/>
  <c r="AQ7" i="18"/>
  <c r="AP7" i="18"/>
  <c r="AO7" i="18"/>
  <c r="AH7" i="18"/>
  <c r="AE7" i="18"/>
  <c r="AD7" i="18"/>
  <c r="AB7" i="18" s="1"/>
  <c r="AC7" i="18"/>
  <c r="V7" i="18"/>
  <c r="S7" i="18"/>
  <c r="R7" i="18"/>
  <c r="P7" i="18" s="1"/>
  <c r="J7" i="18"/>
  <c r="G7" i="18"/>
  <c r="F7" i="18"/>
  <c r="E7" i="18"/>
  <c r="AV6" i="18"/>
  <c r="AU6" i="18"/>
  <c r="AS6" i="18"/>
  <c r="AR6" i="18"/>
  <c r="AD6" i="18"/>
  <c r="AF6" i="18"/>
  <c r="AC6" i="18" s="1"/>
  <c r="R6" i="18"/>
  <c r="P6" i="18" s="1"/>
  <c r="S6" i="18"/>
  <c r="L6" i="18"/>
  <c r="K6" i="18"/>
  <c r="I6" i="18"/>
  <c r="H6" i="18"/>
  <c r="AN3" i="18"/>
  <c r="AB3" i="18"/>
  <c r="P3" i="18"/>
  <c r="AH29" i="18" l="1"/>
  <c r="AT29" i="18"/>
  <c r="AN18" i="18"/>
  <c r="AN22" i="18"/>
  <c r="AN10" i="18"/>
  <c r="AB37" i="18"/>
  <c r="AB38" i="18"/>
  <c r="AB28" i="18"/>
  <c r="AB15" i="18"/>
  <c r="AB25" i="18"/>
  <c r="AB14" i="18"/>
  <c r="AB23" i="18"/>
  <c r="AE6" i="18"/>
  <c r="AB13" i="18"/>
  <c r="AB12" i="18"/>
  <c r="V6" i="18"/>
  <c r="D38" i="18"/>
  <c r="D32" i="18"/>
  <c r="D33" i="18"/>
  <c r="D26" i="18"/>
  <c r="D25" i="18"/>
  <c r="D28" i="18"/>
  <c r="G29" i="18"/>
  <c r="D34" i="18"/>
  <c r="D35" i="18"/>
  <c r="F29" i="18"/>
  <c r="D36" i="18"/>
  <c r="E29" i="18"/>
  <c r="D37" i="18"/>
  <c r="D12" i="18"/>
  <c r="D11" i="18"/>
  <c r="E6" i="18"/>
  <c r="D10" i="18"/>
  <c r="D7" i="18"/>
  <c r="D16" i="18"/>
  <c r="D17" i="18"/>
  <c r="J6" i="18"/>
  <c r="D15" i="18"/>
  <c r="D20" i="18"/>
  <c r="D22" i="18"/>
  <c r="D23" i="18"/>
  <c r="F6" i="18"/>
  <c r="D21" i="18"/>
  <c r="D27" i="18"/>
  <c r="D8" i="18"/>
  <c r="D14" i="18"/>
  <c r="G6" i="18"/>
  <c r="D9" i="18"/>
  <c r="D13" i="18"/>
  <c r="D19" i="18"/>
  <c r="R29" i="18"/>
  <c r="P29" i="18" s="1"/>
  <c r="AB36" i="18"/>
  <c r="AE29" i="18"/>
  <c r="AD29" i="18"/>
  <c r="AC29" i="18"/>
  <c r="AB18" i="18"/>
  <c r="AB9" i="18"/>
  <c r="AB26" i="18"/>
  <c r="AB27" i="18"/>
  <c r="AB19" i="18"/>
  <c r="AB11" i="18"/>
  <c r="AB21" i="18"/>
  <c r="AB10" i="18"/>
  <c r="AB24" i="18"/>
  <c r="AB6" i="18"/>
  <c r="AB16" i="18"/>
  <c r="AB8" i="18"/>
  <c r="AN38" i="18"/>
  <c r="AQ29" i="18"/>
  <c r="AN35" i="18"/>
  <c r="AP29" i="18"/>
  <c r="AO29" i="18"/>
  <c r="AN37" i="18"/>
  <c r="AN26" i="18"/>
  <c r="AN27" i="18"/>
  <c r="AN28" i="18"/>
  <c r="AN13" i="18"/>
  <c r="AN20" i="18"/>
  <c r="AN21" i="18"/>
  <c r="AN14" i="18"/>
  <c r="AN15" i="18"/>
  <c r="AN7" i="18"/>
  <c r="AN8" i="18"/>
  <c r="AT6" i="18"/>
  <c r="AN9" i="18"/>
  <c r="AN11" i="18"/>
  <c r="AN17" i="18"/>
  <c r="AQ6" i="18"/>
  <c r="AN12" i="18"/>
  <c r="AN19" i="18"/>
  <c r="AN25" i="18"/>
  <c r="AO6" i="18"/>
  <c r="AP6" i="18"/>
  <c r="AH6" i="18"/>
  <c r="AJ6" i="17"/>
  <c r="AI6" i="17"/>
  <c r="AJ29" i="17"/>
  <c r="AI29" i="17"/>
  <c r="AG29" i="17"/>
  <c r="AF29" i="17"/>
  <c r="U6" i="17"/>
  <c r="X29" i="17"/>
  <c r="D6" i="18" l="1"/>
  <c r="AN6" i="18"/>
  <c r="D29" i="18"/>
  <c r="AB29" i="18"/>
  <c r="AN29" i="18"/>
  <c r="E7" i="17"/>
  <c r="AO35" i="17" l="1"/>
  <c r="AT38" i="17"/>
  <c r="AQ38" i="17"/>
  <c r="AP38" i="17"/>
  <c r="AO38" i="17"/>
  <c r="AH38" i="17"/>
  <c r="AE38" i="17"/>
  <c r="AD38" i="17"/>
  <c r="AC38" i="17"/>
  <c r="V38" i="17"/>
  <c r="S38" i="17"/>
  <c r="R38" i="17"/>
  <c r="P38" i="17" s="1"/>
  <c r="J38" i="17"/>
  <c r="G38" i="17"/>
  <c r="F38" i="17"/>
  <c r="E38" i="17"/>
  <c r="AT37" i="17"/>
  <c r="AQ37" i="17"/>
  <c r="AP37" i="17"/>
  <c r="AO37" i="17"/>
  <c r="AH37" i="17"/>
  <c r="AE37" i="17"/>
  <c r="AD37" i="17"/>
  <c r="AC37" i="17"/>
  <c r="V37" i="17"/>
  <c r="S37" i="17"/>
  <c r="R37" i="17"/>
  <c r="P37" i="17" s="1"/>
  <c r="J37" i="17"/>
  <c r="G37" i="17"/>
  <c r="F37" i="17"/>
  <c r="E37" i="17"/>
  <c r="AT36" i="17"/>
  <c r="AQ36" i="17"/>
  <c r="AP36" i="17"/>
  <c r="AO36" i="17"/>
  <c r="AH36" i="17"/>
  <c r="AE36" i="17"/>
  <c r="AD36" i="17"/>
  <c r="AC36" i="17"/>
  <c r="V36" i="17"/>
  <c r="S36" i="17"/>
  <c r="R36" i="17"/>
  <c r="P36" i="17" s="1"/>
  <c r="J36" i="17"/>
  <c r="G36" i="17"/>
  <c r="F36" i="17"/>
  <c r="E36" i="17"/>
  <c r="AT35" i="17"/>
  <c r="AQ35" i="17"/>
  <c r="AP35" i="17"/>
  <c r="AD35" i="17"/>
  <c r="AC35" i="17"/>
  <c r="V35" i="17"/>
  <c r="S35" i="17"/>
  <c r="R35" i="17"/>
  <c r="P35" i="17" s="1"/>
  <c r="J35" i="17"/>
  <c r="G35" i="17"/>
  <c r="F35" i="17"/>
  <c r="E35" i="17"/>
  <c r="AP34" i="17"/>
  <c r="AO34" i="17"/>
  <c r="AD34" i="17"/>
  <c r="AC34" i="17"/>
  <c r="J34" i="17"/>
  <c r="G34" i="17"/>
  <c r="F34" i="17"/>
  <c r="E34" i="17"/>
  <c r="AP33" i="17"/>
  <c r="AO33" i="17"/>
  <c r="AD33" i="17"/>
  <c r="AC33" i="17"/>
  <c r="J33" i="17"/>
  <c r="G33" i="17"/>
  <c r="F33" i="17"/>
  <c r="E33" i="17"/>
  <c r="AP32" i="17"/>
  <c r="AO32" i="17"/>
  <c r="AD32" i="17"/>
  <c r="AC32" i="17"/>
  <c r="J32" i="17"/>
  <c r="G32" i="17"/>
  <c r="F32" i="17"/>
  <c r="E32" i="17"/>
  <c r="AP31" i="17"/>
  <c r="AO31" i="17"/>
  <c r="AD31" i="17"/>
  <c r="AC31" i="17"/>
  <c r="J31" i="17"/>
  <c r="F31" i="17"/>
  <c r="E31" i="17"/>
  <c r="AP30" i="17"/>
  <c r="AO30" i="17"/>
  <c r="AD30" i="17"/>
  <c r="AC30" i="17"/>
  <c r="F30" i="17"/>
  <c r="E30" i="17"/>
  <c r="AV29" i="17"/>
  <c r="AU29" i="17"/>
  <c r="AS29" i="17"/>
  <c r="AR29" i="17"/>
  <c r="AH29" i="17"/>
  <c r="V29" i="17"/>
  <c r="U29" i="17"/>
  <c r="S29" i="17" s="1"/>
  <c r="L29" i="17"/>
  <c r="K29" i="17"/>
  <c r="I29" i="17"/>
  <c r="H29" i="17"/>
  <c r="G29" i="17" s="1"/>
  <c r="AQ28" i="17"/>
  <c r="AP28" i="17"/>
  <c r="AO28" i="17"/>
  <c r="AE28" i="17"/>
  <c r="AD28" i="17"/>
  <c r="AC28" i="17"/>
  <c r="V28" i="17"/>
  <c r="S28" i="17"/>
  <c r="R28" i="17"/>
  <c r="P28" i="17"/>
  <c r="J28" i="17"/>
  <c r="G28" i="17"/>
  <c r="F28" i="17"/>
  <c r="E28" i="17"/>
  <c r="AT27" i="17"/>
  <c r="AQ27" i="17"/>
  <c r="AP27" i="17"/>
  <c r="AO27" i="17"/>
  <c r="AH27" i="17"/>
  <c r="AE27" i="17"/>
  <c r="AD27" i="17"/>
  <c r="AC27" i="17"/>
  <c r="V27" i="17"/>
  <c r="S27" i="17"/>
  <c r="R27" i="17"/>
  <c r="P27" i="17" s="1"/>
  <c r="J27" i="17"/>
  <c r="G27" i="17"/>
  <c r="F27" i="17"/>
  <c r="E27" i="17"/>
  <c r="AT26" i="17"/>
  <c r="AQ26" i="17"/>
  <c r="AP26" i="17"/>
  <c r="AO26" i="17"/>
  <c r="AH26" i="17"/>
  <c r="AE26" i="17"/>
  <c r="AD26" i="17"/>
  <c r="AC26" i="17"/>
  <c r="V26" i="17"/>
  <c r="S26" i="17"/>
  <c r="R26" i="17"/>
  <c r="P26" i="17" s="1"/>
  <c r="J26" i="17"/>
  <c r="G26" i="17"/>
  <c r="F26" i="17"/>
  <c r="E26" i="17"/>
  <c r="AT25" i="17"/>
  <c r="AQ25" i="17"/>
  <c r="AP25" i="17"/>
  <c r="AO25" i="17"/>
  <c r="AH25" i="17"/>
  <c r="AE25" i="17"/>
  <c r="AD25" i="17"/>
  <c r="AC25" i="17"/>
  <c r="V25" i="17"/>
  <c r="S25" i="17"/>
  <c r="R25" i="17"/>
  <c r="P25" i="17" s="1"/>
  <c r="J25" i="17"/>
  <c r="G25" i="17"/>
  <c r="F25" i="17"/>
  <c r="E25" i="17"/>
  <c r="AT24" i="17"/>
  <c r="AQ24" i="17"/>
  <c r="AP24" i="17"/>
  <c r="AO24" i="17"/>
  <c r="AH24" i="17"/>
  <c r="AE24" i="17"/>
  <c r="AD24" i="17"/>
  <c r="AC24" i="17"/>
  <c r="V24" i="17"/>
  <c r="S24" i="17"/>
  <c r="R24" i="17"/>
  <c r="P24" i="17" s="1"/>
  <c r="J24" i="17"/>
  <c r="G24" i="17"/>
  <c r="F24" i="17"/>
  <c r="E24" i="17"/>
  <c r="AT23" i="17"/>
  <c r="AQ23" i="17"/>
  <c r="AP23" i="17"/>
  <c r="AO23" i="17"/>
  <c r="AH23" i="17"/>
  <c r="AE23" i="17"/>
  <c r="AD23" i="17"/>
  <c r="AC23" i="17"/>
  <c r="V23" i="17"/>
  <c r="S23" i="17"/>
  <c r="R23" i="17"/>
  <c r="P23" i="17" s="1"/>
  <c r="J23" i="17"/>
  <c r="G23" i="17"/>
  <c r="F23" i="17"/>
  <c r="E23" i="17"/>
  <c r="AT22" i="17"/>
  <c r="AQ22" i="17"/>
  <c r="AP22" i="17"/>
  <c r="AO22" i="17"/>
  <c r="AH22" i="17"/>
  <c r="AE22" i="17"/>
  <c r="AD22" i="17"/>
  <c r="AC22" i="17"/>
  <c r="V22" i="17"/>
  <c r="S22" i="17"/>
  <c r="R22" i="17"/>
  <c r="P22" i="17" s="1"/>
  <c r="J22" i="17"/>
  <c r="G22" i="17"/>
  <c r="F22" i="17"/>
  <c r="D22" i="17" s="1"/>
  <c r="E22" i="17"/>
  <c r="AT21" i="17"/>
  <c r="AQ21" i="17"/>
  <c r="AP21" i="17"/>
  <c r="AO21" i="17"/>
  <c r="AH21" i="17"/>
  <c r="AE21" i="17"/>
  <c r="AD21" i="17"/>
  <c r="AC21" i="17"/>
  <c r="V21" i="17"/>
  <c r="S21" i="17"/>
  <c r="R21" i="17"/>
  <c r="P21" i="17"/>
  <c r="J21" i="17"/>
  <c r="G21" i="17"/>
  <c r="F21" i="17"/>
  <c r="E21" i="17"/>
  <c r="AT20" i="17"/>
  <c r="AQ20" i="17"/>
  <c r="AP20" i="17"/>
  <c r="AO20" i="17"/>
  <c r="AH20" i="17"/>
  <c r="AE20" i="17"/>
  <c r="AD20" i="17"/>
  <c r="AC20" i="17"/>
  <c r="V20" i="17"/>
  <c r="S20" i="17"/>
  <c r="R20" i="17"/>
  <c r="P20" i="17" s="1"/>
  <c r="J20" i="17"/>
  <c r="G20" i="17"/>
  <c r="F20" i="17"/>
  <c r="E20" i="17"/>
  <c r="AT19" i="17"/>
  <c r="AQ19" i="17"/>
  <c r="AP19" i="17"/>
  <c r="AO19" i="17"/>
  <c r="AH19" i="17"/>
  <c r="AE19" i="17"/>
  <c r="AD19" i="17"/>
  <c r="AC19" i="17"/>
  <c r="V19" i="17"/>
  <c r="S19" i="17"/>
  <c r="R19" i="17"/>
  <c r="P19" i="17" s="1"/>
  <c r="J19" i="17"/>
  <c r="G19" i="17"/>
  <c r="F19" i="17"/>
  <c r="E19" i="17"/>
  <c r="D19" i="17" s="1"/>
  <c r="AT18" i="17"/>
  <c r="AQ18" i="17"/>
  <c r="AP18" i="17"/>
  <c r="AO18" i="17"/>
  <c r="AH18" i="17"/>
  <c r="AE18" i="17"/>
  <c r="AD18" i="17"/>
  <c r="AC18" i="17"/>
  <c r="V18" i="17"/>
  <c r="S18" i="17"/>
  <c r="R18" i="17"/>
  <c r="P18" i="17" s="1"/>
  <c r="J18" i="17"/>
  <c r="G18" i="17"/>
  <c r="F18" i="17"/>
  <c r="E18" i="17"/>
  <c r="D18" i="17" s="1"/>
  <c r="AT17" i="17"/>
  <c r="AQ17" i="17"/>
  <c r="AP17" i="17"/>
  <c r="AO17" i="17"/>
  <c r="AH17" i="17"/>
  <c r="AE17" i="17"/>
  <c r="AD17" i="17"/>
  <c r="AC17" i="17"/>
  <c r="V17" i="17"/>
  <c r="S17" i="17"/>
  <c r="R17" i="17"/>
  <c r="P17" i="17" s="1"/>
  <c r="J17" i="17"/>
  <c r="G17" i="17"/>
  <c r="F17" i="17"/>
  <c r="E17" i="17"/>
  <c r="AT16" i="17"/>
  <c r="AQ16" i="17"/>
  <c r="AP16" i="17"/>
  <c r="AO16" i="17"/>
  <c r="AH16" i="17"/>
  <c r="AE16" i="17"/>
  <c r="AD16" i="17"/>
  <c r="AC16" i="17"/>
  <c r="V16" i="17"/>
  <c r="S16" i="17"/>
  <c r="R16" i="17"/>
  <c r="P16" i="17" s="1"/>
  <c r="J16" i="17"/>
  <c r="G16" i="17"/>
  <c r="F16" i="17"/>
  <c r="E16" i="17"/>
  <c r="AT15" i="17"/>
  <c r="AQ15" i="17"/>
  <c r="AP15" i="17"/>
  <c r="AO15" i="17"/>
  <c r="AH15" i="17"/>
  <c r="AE15" i="17"/>
  <c r="AD15" i="17"/>
  <c r="AC15" i="17"/>
  <c r="V15" i="17"/>
  <c r="S15" i="17"/>
  <c r="R15" i="17"/>
  <c r="P15" i="17" s="1"/>
  <c r="J15" i="17"/>
  <c r="G15" i="17"/>
  <c r="F15" i="17"/>
  <c r="E15" i="17"/>
  <c r="AT14" i="17"/>
  <c r="AQ14" i="17"/>
  <c r="AP14" i="17"/>
  <c r="AO14" i="17"/>
  <c r="AH14" i="17"/>
  <c r="AE14" i="17"/>
  <c r="AD14" i="17"/>
  <c r="AC14" i="17"/>
  <c r="V14" i="17"/>
  <c r="S14" i="17"/>
  <c r="R14" i="17"/>
  <c r="P14" i="17" s="1"/>
  <c r="J14" i="17"/>
  <c r="G14" i="17"/>
  <c r="F14" i="17"/>
  <c r="E14" i="17"/>
  <c r="AT13" i="17"/>
  <c r="AQ13" i="17"/>
  <c r="AP13" i="17"/>
  <c r="AO13" i="17"/>
  <c r="AH13" i="17"/>
  <c r="AE13" i="17"/>
  <c r="AD13" i="17"/>
  <c r="AC13" i="17"/>
  <c r="V13" i="17"/>
  <c r="S13" i="17"/>
  <c r="R13" i="17"/>
  <c r="P13" i="17" s="1"/>
  <c r="J13" i="17"/>
  <c r="G13" i="17"/>
  <c r="F13" i="17"/>
  <c r="E13" i="17"/>
  <c r="AT12" i="17"/>
  <c r="AQ12" i="17"/>
  <c r="AP12" i="17"/>
  <c r="AO12" i="17"/>
  <c r="AN12" i="17" s="1"/>
  <c r="AH12" i="17"/>
  <c r="AE12" i="17"/>
  <c r="AD12" i="17"/>
  <c r="AC12" i="17"/>
  <c r="V12" i="17"/>
  <c r="S12" i="17"/>
  <c r="R12" i="17"/>
  <c r="P12" i="17" s="1"/>
  <c r="J12" i="17"/>
  <c r="G12" i="17"/>
  <c r="F12" i="17"/>
  <c r="E12" i="17"/>
  <c r="AT11" i="17"/>
  <c r="AQ11" i="17"/>
  <c r="AP11" i="17"/>
  <c r="AO11" i="17"/>
  <c r="AH11" i="17"/>
  <c r="AE11" i="17"/>
  <c r="AD11" i="17"/>
  <c r="AC11" i="17"/>
  <c r="V11" i="17"/>
  <c r="S11" i="17"/>
  <c r="R11" i="17"/>
  <c r="P11" i="17" s="1"/>
  <c r="J11" i="17"/>
  <c r="G11" i="17"/>
  <c r="F11" i="17"/>
  <c r="E11" i="17"/>
  <c r="AT10" i="17"/>
  <c r="AQ10" i="17"/>
  <c r="AP10" i="17"/>
  <c r="AO10" i="17"/>
  <c r="AH10" i="17"/>
  <c r="AE10" i="17"/>
  <c r="AD10" i="17"/>
  <c r="AC10" i="17"/>
  <c r="V10" i="17"/>
  <c r="S10" i="17"/>
  <c r="R10" i="17"/>
  <c r="P10" i="17" s="1"/>
  <c r="J10" i="17"/>
  <c r="G10" i="17"/>
  <c r="F10" i="17"/>
  <c r="E10" i="17"/>
  <c r="AT9" i="17"/>
  <c r="AQ9" i="17"/>
  <c r="AP9" i="17"/>
  <c r="AO9" i="17"/>
  <c r="AH9" i="17"/>
  <c r="AE9" i="17"/>
  <c r="AD9" i="17"/>
  <c r="AC9" i="17"/>
  <c r="V9" i="17"/>
  <c r="S9" i="17"/>
  <c r="R9" i="17"/>
  <c r="P9" i="17" s="1"/>
  <c r="J9" i="17"/>
  <c r="G9" i="17"/>
  <c r="F9" i="17"/>
  <c r="E9" i="17"/>
  <c r="AT8" i="17"/>
  <c r="AQ8" i="17"/>
  <c r="AP8" i="17"/>
  <c r="AO8" i="17"/>
  <c r="AH8" i="17"/>
  <c r="AE8" i="17"/>
  <c r="AD8" i="17"/>
  <c r="AC8" i="17"/>
  <c r="V8" i="17"/>
  <c r="S8" i="17"/>
  <c r="R8" i="17"/>
  <c r="P8" i="17" s="1"/>
  <c r="J8" i="17"/>
  <c r="G8" i="17"/>
  <c r="F8" i="17"/>
  <c r="E8" i="17"/>
  <c r="AT7" i="17"/>
  <c r="AQ7" i="17"/>
  <c r="AP7" i="17"/>
  <c r="AO7" i="17"/>
  <c r="AH7" i="17"/>
  <c r="AE7" i="17"/>
  <c r="AD7" i="17"/>
  <c r="AC7" i="17"/>
  <c r="V7" i="17"/>
  <c r="S7" i="17"/>
  <c r="R7" i="17"/>
  <c r="P7" i="17" s="1"/>
  <c r="J7" i="17"/>
  <c r="G7" i="17"/>
  <c r="F7" i="17"/>
  <c r="AV6" i="17"/>
  <c r="AU6" i="17"/>
  <c r="AS6" i="17"/>
  <c r="AR6" i="17"/>
  <c r="AH6" i="17"/>
  <c r="AG6" i="17"/>
  <c r="AF6" i="17"/>
  <c r="X6" i="17"/>
  <c r="V6" i="17" s="1"/>
  <c r="S6" i="17"/>
  <c r="L6" i="17"/>
  <c r="K6" i="17"/>
  <c r="I6" i="17"/>
  <c r="H6" i="17"/>
  <c r="AN3" i="17"/>
  <c r="AB3" i="17"/>
  <c r="P3" i="17"/>
  <c r="AB36" i="17" l="1"/>
  <c r="AB8" i="17"/>
  <c r="AB16" i="17"/>
  <c r="AB7" i="17"/>
  <c r="AB15" i="17"/>
  <c r="D33" i="17"/>
  <c r="AB37" i="17"/>
  <c r="AN36" i="17"/>
  <c r="AN37" i="17"/>
  <c r="AN16" i="17"/>
  <c r="AN23" i="17"/>
  <c r="AC29" i="17"/>
  <c r="AB19" i="17"/>
  <c r="AD6" i="17"/>
  <c r="AC6" i="17"/>
  <c r="AB22" i="17"/>
  <c r="D31" i="17"/>
  <c r="E29" i="17"/>
  <c r="D34" i="17"/>
  <c r="D35" i="17"/>
  <c r="D15" i="17"/>
  <c r="AN38" i="17"/>
  <c r="AQ29" i="17"/>
  <c r="AO29" i="17"/>
  <c r="AN17" i="17"/>
  <c r="AN19" i="17"/>
  <c r="AN25" i="17"/>
  <c r="AN24" i="17"/>
  <c r="AN8" i="17"/>
  <c r="AD29" i="17"/>
  <c r="AB24" i="17"/>
  <c r="AB23" i="17"/>
  <c r="AB11" i="17"/>
  <c r="R6" i="17"/>
  <c r="P6" i="17" s="1"/>
  <c r="AQ6" i="17"/>
  <c r="AP6" i="17"/>
  <c r="AB13" i="17"/>
  <c r="D14" i="17"/>
  <c r="AT6" i="17"/>
  <c r="D10" i="17"/>
  <c r="D21" i="17"/>
  <c r="AB26" i="17"/>
  <c r="D27" i="17"/>
  <c r="AT29" i="17"/>
  <c r="AN14" i="17"/>
  <c r="AB18" i="17"/>
  <c r="D20" i="17"/>
  <c r="D26" i="17"/>
  <c r="J29" i="17"/>
  <c r="F29" i="17"/>
  <c r="G6" i="17"/>
  <c r="D7" i="17"/>
  <c r="AN10" i="17"/>
  <c r="AN11" i="17"/>
  <c r="AN28" i="17"/>
  <c r="R29" i="17"/>
  <c r="P29" i="17" s="1"/>
  <c r="D36" i="17"/>
  <c r="J6" i="17"/>
  <c r="AN9" i="17"/>
  <c r="AN20" i="17"/>
  <c r="AN22" i="17"/>
  <c r="D37" i="17"/>
  <c r="D38" i="17"/>
  <c r="AB38" i="17"/>
  <c r="D13" i="17"/>
  <c r="AB10" i="17"/>
  <c r="D11" i="17"/>
  <c r="AB27" i="17"/>
  <c r="D28" i="17"/>
  <c r="AP29" i="17"/>
  <c r="AN35" i="17"/>
  <c r="D24" i="17"/>
  <c r="AE29" i="17"/>
  <c r="E6" i="17"/>
  <c r="D16" i="17"/>
  <c r="D17" i="17"/>
  <c r="AB17" i="17"/>
  <c r="AN21" i="17"/>
  <c r="AB28" i="17"/>
  <c r="D8" i="17"/>
  <c r="D9" i="17"/>
  <c r="AB9" i="17"/>
  <c r="AN13" i="17"/>
  <c r="AN15" i="17"/>
  <c r="AB20" i="17"/>
  <c r="AN26" i="17"/>
  <c r="AB21" i="17"/>
  <c r="AE6" i="17"/>
  <c r="AO6" i="17"/>
  <c r="D12" i="17"/>
  <c r="AB12" i="17"/>
  <c r="AN18" i="17"/>
  <c r="D23" i="17"/>
  <c r="AN27" i="17"/>
  <c r="AB14" i="17"/>
  <c r="D25" i="17"/>
  <c r="AB25" i="17"/>
  <c r="F6" i="17"/>
  <c r="D32" i="17"/>
  <c r="AN7" i="17"/>
  <c r="AQ28" i="16"/>
  <c r="AB29" i="17" l="1"/>
  <c r="AB6" i="17"/>
  <c r="D29" i="17"/>
  <c r="D6" i="17"/>
  <c r="AN29" i="17"/>
  <c r="AN6" i="17"/>
  <c r="AI6" i="16"/>
  <c r="AJ6" i="16"/>
  <c r="AG6" i="16"/>
  <c r="AF6" i="16"/>
  <c r="AC6" i="16" s="1"/>
  <c r="AT38" i="16"/>
  <c r="AQ38" i="16"/>
  <c r="AP38" i="16"/>
  <c r="AO38" i="16"/>
  <c r="AH38" i="16"/>
  <c r="AE38" i="16"/>
  <c r="AD38" i="16"/>
  <c r="AC38" i="16"/>
  <c r="V38" i="16"/>
  <c r="S38" i="16"/>
  <c r="R38" i="16"/>
  <c r="P38" i="16"/>
  <c r="J38" i="16"/>
  <c r="G38" i="16"/>
  <c r="F38" i="16"/>
  <c r="E38" i="16"/>
  <c r="AT37" i="16"/>
  <c r="AQ37" i="16"/>
  <c r="AP37" i="16"/>
  <c r="AO37" i="16"/>
  <c r="AH37" i="16"/>
  <c r="AE37" i="16"/>
  <c r="AD37" i="16"/>
  <c r="AC37" i="16"/>
  <c r="V37" i="16"/>
  <c r="S37" i="16"/>
  <c r="R37" i="16"/>
  <c r="P37" i="16" s="1"/>
  <c r="J37" i="16"/>
  <c r="G37" i="16"/>
  <c r="F37" i="16"/>
  <c r="E37" i="16"/>
  <c r="AT36" i="16"/>
  <c r="AQ36" i="16"/>
  <c r="AP36" i="16"/>
  <c r="AO36" i="16"/>
  <c r="AH36" i="16"/>
  <c r="AE36" i="16"/>
  <c r="AD36" i="16"/>
  <c r="AC36" i="16"/>
  <c r="V36" i="16"/>
  <c r="S36" i="16"/>
  <c r="R36" i="16"/>
  <c r="P36" i="16" s="1"/>
  <c r="J36" i="16"/>
  <c r="G36" i="16"/>
  <c r="F36" i="16"/>
  <c r="E36" i="16"/>
  <c r="AT35" i="16"/>
  <c r="AQ35" i="16"/>
  <c r="AP35" i="16"/>
  <c r="AO35" i="16"/>
  <c r="AD35" i="16"/>
  <c r="AC35" i="16"/>
  <c r="V35" i="16"/>
  <c r="S35" i="16"/>
  <c r="R35" i="16"/>
  <c r="P35" i="16" s="1"/>
  <c r="J35" i="16"/>
  <c r="G35" i="16"/>
  <c r="F35" i="16"/>
  <c r="E35" i="16"/>
  <c r="AP34" i="16"/>
  <c r="AO34" i="16"/>
  <c r="AD34" i="16"/>
  <c r="AC34" i="16"/>
  <c r="R34" i="16"/>
  <c r="J34" i="16"/>
  <c r="G34" i="16"/>
  <c r="F34" i="16"/>
  <c r="E34" i="16"/>
  <c r="AP33" i="16"/>
  <c r="AO33" i="16"/>
  <c r="AD33" i="16"/>
  <c r="AC33" i="16"/>
  <c r="R33" i="16"/>
  <c r="J33" i="16"/>
  <c r="G33" i="16"/>
  <c r="F33" i="16"/>
  <c r="E33" i="16"/>
  <c r="AP32" i="16"/>
  <c r="AO32" i="16"/>
  <c r="AD32" i="16"/>
  <c r="AC32" i="16"/>
  <c r="R32" i="16"/>
  <c r="J32" i="16"/>
  <c r="G32" i="16"/>
  <c r="F32" i="16"/>
  <c r="E32" i="16"/>
  <c r="AP31" i="16"/>
  <c r="AO31" i="16"/>
  <c r="AD31" i="16"/>
  <c r="AC31" i="16"/>
  <c r="R31" i="16"/>
  <c r="J31" i="16"/>
  <c r="F31" i="16"/>
  <c r="E31" i="16"/>
  <c r="AP30" i="16"/>
  <c r="AO30" i="16"/>
  <c r="AD30" i="16"/>
  <c r="AC30" i="16"/>
  <c r="R30" i="16"/>
  <c r="F30" i="16"/>
  <c r="E30" i="16"/>
  <c r="AV29" i="16"/>
  <c r="AU29" i="16"/>
  <c r="AS29" i="16"/>
  <c r="AR29" i="16"/>
  <c r="AJ29" i="16"/>
  <c r="AI29" i="16"/>
  <c r="AG29" i="16"/>
  <c r="AF29" i="16"/>
  <c r="X29" i="16"/>
  <c r="V29" i="16" s="1"/>
  <c r="U29" i="16"/>
  <c r="S29" i="16" s="1"/>
  <c r="L29" i="16"/>
  <c r="K29" i="16"/>
  <c r="I29" i="16"/>
  <c r="H29" i="16"/>
  <c r="AP28" i="16"/>
  <c r="AO28" i="16"/>
  <c r="AH28" i="16"/>
  <c r="AE28" i="16"/>
  <c r="AD28" i="16"/>
  <c r="AC28" i="16"/>
  <c r="V28" i="16"/>
  <c r="S28" i="16"/>
  <c r="R28" i="16"/>
  <c r="P28" i="16" s="1"/>
  <c r="J28" i="16"/>
  <c r="G28" i="16"/>
  <c r="F28" i="16"/>
  <c r="E28" i="16"/>
  <c r="AT27" i="16"/>
  <c r="AQ27" i="16"/>
  <c r="AP27" i="16"/>
  <c r="AO27" i="16"/>
  <c r="AH27" i="16"/>
  <c r="AE27" i="16"/>
  <c r="AD27" i="16"/>
  <c r="AC27" i="16"/>
  <c r="V27" i="16"/>
  <c r="S27" i="16"/>
  <c r="R27" i="16"/>
  <c r="P27" i="16" s="1"/>
  <c r="J27" i="16"/>
  <c r="G27" i="16"/>
  <c r="F27" i="16"/>
  <c r="E27" i="16"/>
  <c r="AT26" i="16"/>
  <c r="AQ26" i="16"/>
  <c r="AP26" i="16"/>
  <c r="AO26" i="16"/>
  <c r="AH26" i="16"/>
  <c r="AE26" i="16"/>
  <c r="AD26" i="16"/>
  <c r="AC26" i="16"/>
  <c r="V26" i="16"/>
  <c r="S26" i="16"/>
  <c r="R26" i="16"/>
  <c r="P26" i="16" s="1"/>
  <c r="J26" i="16"/>
  <c r="G26" i="16"/>
  <c r="F26" i="16"/>
  <c r="E26" i="16"/>
  <c r="AT25" i="16"/>
  <c r="AQ25" i="16"/>
  <c r="AP25" i="16"/>
  <c r="AO25" i="16"/>
  <c r="AH25" i="16"/>
  <c r="AE25" i="16"/>
  <c r="AD25" i="16"/>
  <c r="AC25" i="16"/>
  <c r="V25" i="16"/>
  <c r="S25" i="16"/>
  <c r="R25" i="16"/>
  <c r="P25" i="16" s="1"/>
  <c r="J25" i="16"/>
  <c r="G25" i="16"/>
  <c r="F25" i="16"/>
  <c r="E25" i="16"/>
  <c r="AT24" i="16"/>
  <c r="AQ24" i="16"/>
  <c r="AP24" i="16"/>
  <c r="AO24" i="16"/>
  <c r="AH24" i="16"/>
  <c r="AE24" i="16"/>
  <c r="AD24" i="16"/>
  <c r="AC24" i="16"/>
  <c r="V24" i="16"/>
  <c r="S24" i="16"/>
  <c r="R24" i="16"/>
  <c r="P24" i="16" s="1"/>
  <c r="J24" i="16"/>
  <c r="G24" i="16"/>
  <c r="F24" i="16"/>
  <c r="E24" i="16"/>
  <c r="AT23" i="16"/>
  <c r="AQ23" i="16"/>
  <c r="AP23" i="16"/>
  <c r="AO23" i="16"/>
  <c r="AH23" i="16"/>
  <c r="AE23" i="16"/>
  <c r="AD23" i="16"/>
  <c r="AC23" i="16"/>
  <c r="V23" i="16"/>
  <c r="S23" i="16"/>
  <c r="R23" i="16"/>
  <c r="P23" i="16" s="1"/>
  <c r="J23" i="16"/>
  <c r="G23" i="16"/>
  <c r="F23" i="16"/>
  <c r="E23" i="16"/>
  <c r="AT22" i="16"/>
  <c r="AQ22" i="16"/>
  <c r="AP22" i="16"/>
  <c r="AO22" i="16"/>
  <c r="AN22" i="16"/>
  <c r="AH22" i="16"/>
  <c r="AE22" i="16"/>
  <c r="AD22" i="16"/>
  <c r="AC22" i="16"/>
  <c r="V22" i="16"/>
  <c r="S22" i="16"/>
  <c r="R22" i="16"/>
  <c r="P22" i="16" s="1"/>
  <c r="J22" i="16"/>
  <c r="G22" i="16"/>
  <c r="F22" i="16"/>
  <c r="E22" i="16"/>
  <c r="AT21" i="16"/>
  <c r="AQ21" i="16"/>
  <c r="AP21" i="16"/>
  <c r="AO21" i="16"/>
  <c r="AH21" i="16"/>
  <c r="AE21" i="16"/>
  <c r="AD21" i="16"/>
  <c r="AC21" i="16"/>
  <c r="V21" i="16"/>
  <c r="S21" i="16"/>
  <c r="R21" i="16"/>
  <c r="P21" i="16" s="1"/>
  <c r="J21" i="16"/>
  <c r="G21" i="16"/>
  <c r="F21" i="16"/>
  <c r="E21" i="16"/>
  <c r="AT20" i="16"/>
  <c r="AQ20" i="16"/>
  <c r="AP20" i="16"/>
  <c r="AO20" i="16"/>
  <c r="AH20" i="16"/>
  <c r="AE20" i="16"/>
  <c r="AD20" i="16"/>
  <c r="AC20" i="16"/>
  <c r="V20" i="16"/>
  <c r="S20" i="16"/>
  <c r="R20" i="16"/>
  <c r="P20" i="16"/>
  <c r="J20" i="16"/>
  <c r="G20" i="16"/>
  <c r="F20" i="16"/>
  <c r="E20" i="16"/>
  <c r="AT19" i="16"/>
  <c r="AQ19" i="16"/>
  <c r="AP19" i="16"/>
  <c r="AO19" i="16"/>
  <c r="AH19" i="16"/>
  <c r="AE19" i="16"/>
  <c r="AD19" i="16"/>
  <c r="AC19" i="16"/>
  <c r="V19" i="16"/>
  <c r="S19" i="16"/>
  <c r="R19" i="16"/>
  <c r="P19" i="16" s="1"/>
  <c r="J19" i="16"/>
  <c r="G19" i="16"/>
  <c r="F19" i="16"/>
  <c r="E19" i="16"/>
  <c r="AT18" i="16"/>
  <c r="AQ18" i="16"/>
  <c r="AP18" i="16"/>
  <c r="AO18" i="16"/>
  <c r="AH18" i="16"/>
  <c r="AE18" i="16"/>
  <c r="AD18" i="16"/>
  <c r="AC18" i="16"/>
  <c r="V18" i="16"/>
  <c r="S18" i="16"/>
  <c r="R18" i="16"/>
  <c r="P18" i="16" s="1"/>
  <c r="J18" i="16"/>
  <c r="G18" i="16"/>
  <c r="F18" i="16"/>
  <c r="E18" i="16"/>
  <c r="AT17" i="16"/>
  <c r="AQ17" i="16"/>
  <c r="AP17" i="16"/>
  <c r="AO17" i="16"/>
  <c r="AH17" i="16"/>
  <c r="AE17" i="16"/>
  <c r="AD17" i="16"/>
  <c r="AC17" i="16"/>
  <c r="V17" i="16"/>
  <c r="S17" i="16"/>
  <c r="R17" i="16"/>
  <c r="P17" i="16" s="1"/>
  <c r="J17" i="16"/>
  <c r="G17" i="16"/>
  <c r="F17" i="16"/>
  <c r="E17" i="16"/>
  <c r="AT16" i="16"/>
  <c r="AQ16" i="16"/>
  <c r="AP16" i="16"/>
  <c r="AO16" i="16"/>
  <c r="AH16" i="16"/>
  <c r="AE16" i="16"/>
  <c r="AD16" i="16"/>
  <c r="AC16" i="16"/>
  <c r="V16" i="16"/>
  <c r="S16" i="16"/>
  <c r="R16" i="16"/>
  <c r="P16" i="16" s="1"/>
  <c r="J16" i="16"/>
  <c r="G16" i="16"/>
  <c r="F16" i="16"/>
  <c r="E16" i="16"/>
  <c r="AT15" i="16"/>
  <c r="AQ15" i="16"/>
  <c r="AP15" i="16"/>
  <c r="AO15" i="16"/>
  <c r="AH15" i="16"/>
  <c r="AE15" i="16"/>
  <c r="AD15" i="16"/>
  <c r="AC15" i="16"/>
  <c r="V15" i="16"/>
  <c r="S15" i="16"/>
  <c r="R15" i="16"/>
  <c r="P15" i="16" s="1"/>
  <c r="J15" i="16"/>
  <c r="G15" i="16"/>
  <c r="F15" i="16"/>
  <c r="E15" i="16"/>
  <c r="AT14" i="16"/>
  <c r="AQ14" i="16"/>
  <c r="AP14" i="16"/>
  <c r="AO14" i="16"/>
  <c r="AH14" i="16"/>
  <c r="AE14" i="16"/>
  <c r="AD14" i="16"/>
  <c r="AC14" i="16"/>
  <c r="V14" i="16"/>
  <c r="S14" i="16"/>
  <c r="R14" i="16"/>
  <c r="P14" i="16" s="1"/>
  <c r="J14" i="16"/>
  <c r="G14" i="16"/>
  <c r="F14" i="16"/>
  <c r="E14" i="16"/>
  <c r="AT13" i="16"/>
  <c r="AQ13" i="16"/>
  <c r="AP13" i="16"/>
  <c r="AO13" i="16"/>
  <c r="AH13" i="16"/>
  <c r="AE13" i="16"/>
  <c r="AD13" i="16"/>
  <c r="AC13" i="16"/>
  <c r="V13" i="16"/>
  <c r="S13" i="16"/>
  <c r="R13" i="16"/>
  <c r="P13" i="16" s="1"/>
  <c r="J13" i="16"/>
  <c r="G13" i="16"/>
  <c r="F13" i="16"/>
  <c r="E13" i="16"/>
  <c r="AT12" i="16"/>
  <c r="AQ12" i="16"/>
  <c r="AP12" i="16"/>
  <c r="AO12" i="16"/>
  <c r="AH12" i="16"/>
  <c r="AE12" i="16"/>
  <c r="AD12" i="16"/>
  <c r="AC12" i="16"/>
  <c r="V12" i="16"/>
  <c r="S12" i="16"/>
  <c r="R12" i="16"/>
  <c r="P12" i="16" s="1"/>
  <c r="J12" i="16"/>
  <c r="G12" i="16"/>
  <c r="F12" i="16"/>
  <c r="E12" i="16"/>
  <c r="AT11" i="16"/>
  <c r="AQ11" i="16"/>
  <c r="AP11" i="16"/>
  <c r="AO11" i="16"/>
  <c r="AH11" i="16"/>
  <c r="AE11" i="16"/>
  <c r="AD11" i="16"/>
  <c r="AC11" i="16"/>
  <c r="V11" i="16"/>
  <c r="S11" i="16"/>
  <c r="R11" i="16"/>
  <c r="P11" i="16" s="1"/>
  <c r="J11" i="16"/>
  <c r="G11" i="16"/>
  <c r="F11" i="16"/>
  <c r="E11" i="16"/>
  <c r="AT10" i="16"/>
  <c r="AQ10" i="16"/>
  <c r="AP10" i="16"/>
  <c r="AO10" i="16"/>
  <c r="AH10" i="16"/>
  <c r="AE10" i="16"/>
  <c r="AD10" i="16"/>
  <c r="AC10" i="16"/>
  <c r="V10" i="16"/>
  <c r="S10" i="16"/>
  <c r="R10" i="16"/>
  <c r="P10" i="16" s="1"/>
  <c r="J10" i="16"/>
  <c r="G10" i="16"/>
  <c r="F10" i="16"/>
  <c r="E10" i="16"/>
  <c r="AT9" i="16"/>
  <c r="AQ9" i="16"/>
  <c r="AP9" i="16"/>
  <c r="AO9" i="16"/>
  <c r="AH9" i="16"/>
  <c r="AE9" i="16"/>
  <c r="AD9" i="16"/>
  <c r="AC9" i="16"/>
  <c r="V9" i="16"/>
  <c r="S9" i="16"/>
  <c r="R9" i="16"/>
  <c r="P9" i="16" s="1"/>
  <c r="J9" i="16"/>
  <c r="G9" i="16"/>
  <c r="F9" i="16"/>
  <c r="E9" i="16"/>
  <c r="AT8" i="16"/>
  <c r="AQ8" i="16"/>
  <c r="AP8" i="16"/>
  <c r="AO8" i="16"/>
  <c r="AH8" i="16"/>
  <c r="AE8" i="16"/>
  <c r="AD8" i="16"/>
  <c r="AC8" i="16"/>
  <c r="V8" i="16"/>
  <c r="S8" i="16"/>
  <c r="R8" i="16"/>
  <c r="P8" i="16" s="1"/>
  <c r="J8" i="16"/>
  <c r="G8" i="16"/>
  <c r="F8" i="16"/>
  <c r="E8" i="16"/>
  <c r="AT7" i="16"/>
  <c r="AQ7" i="16"/>
  <c r="AP7" i="16"/>
  <c r="AO7" i="16"/>
  <c r="AH7" i="16"/>
  <c r="AE7" i="16"/>
  <c r="AD7" i="16"/>
  <c r="AC7" i="16"/>
  <c r="V7" i="16"/>
  <c r="S7" i="16"/>
  <c r="R7" i="16"/>
  <c r="P7" i="16" s="1"/>
  <c r="J7" i="16"/>
  <c r="G7" i="16"/>
  <c r="F7" i="16"/>
  <c r="E7" i="16"/>
  <c r="AV6" i="16"/>
  <c r="AU6" i="16"/>
  <c r="AS6" i="16"/>
  <c r="AR6" i="16"/>
  <c r="X6" i="16"/>
  <c r="V6" i="16" s="1"/>
  <c r="U6" i="16"/>
  <c r="L6" i="16"/>
  <c r="K6" i="16"/>
  <c r="I6" i="16"/>
  <c r="H6" i="16"/>
  <c r="AN3" i="16"/>
  <c r="AB3" i="16"/>
  <c r="P3" i="16"/>
  <c r="AE29" i="16" l="1"/>
  <c r="D16" i="16"/>
  <c r="AB16" i="16"/>
  <c r="AN11" i="16"/>
  <c r="AN18" i="16"/>
  <c r="AB19" i="16"/>
  <c r="AB17" i="16"/>
  <c r="AB18" i="16"/>
  <c r="AB11" i="16"/>
  <c r="G6" i="16"/>
  <c r="D22" i="16"/>
  <c r="AB13" i="16"/>
  <c r="AB37" i="16"/>
  <c r="AQ6" i="16"/>
  <c r="G29" i="16"/>
  <c r="AN24" i="16"/>
  <c r="D9" i="16"/>
  <c r="D27" i="16"/>
  <c r="AB36" i="16"/>
  <c r="D37" i="16"/>
  <c r="AN26" i="16"/>
  <c r="D32" i="16"/>
  <c r="D36" i="16"/>
  <c r="AQ29" i="16"/>
  <c r="AN7" i="16"/>
  <c r="D24" i="16"/>
  <c r="AP29" i="16"/>
  <c r="J6" i="16"/>
  <c r="D13" i="16"/>
  <c r="D14" i="16"/>
  <c r="AT6" i="16"/>
  <c r="AB10" i="16"/>
  <c r="AD29" i="16"/>
  <c r="AN38" i="16"/>
  <c r="AN37" i="16"/>
  <c r="AN9" i="16"/>
  <c r="AN17" i="16"/>
  <c r="D33" i="16"/>
  <c r="AN14" i="16"/>
  <c r="AN12" i="16"/>
  <c r="R6" i="16"/>
  <c r="P6" i="16" s="1"/>
  <c r="R29" i="16"/>
  <c r="P29" i="16" s="1"/>
  <c r="AT29" i="16"/>
  <c r="AO29" i="16"/>
  <c r="AN36" i="16"/>
  <c r="AN35" i="16"/>
  <c r="AN27" i="16"/>
  <c r="AN28" i="16"/>
  <c r="AN25" i="16"/>
  <c r="AN19" i="16"/>
  <c r="AN20" i="16"/>
  <c r="AO6" i="16"/>
  <c r="AN8" i="16"/>
  <c r="AN10" i="16"/>
  <c r="AN13" i="16"/>
  <c r="AN15" i="16"/>
  <c r="AN16" i="16"/>
  <c r="AN21" i="16"/>
  <c r="AN23" i="16"/>
  <c r="AH29" i="16"/>
  <c r="AC29" i="16"/>
  <c r="AB38" i="16"/>
  <c r="AB28" i="16"/>
  <c r="AB7" i="16"/>
  <c r="AB8" i="16"/>
  <c r="AB9" i="16"/>
  <c r="AB25" i="16"/>
  <c r="AB26" i="16"/>
  <c r="AB27" i="16"/>
  <c r="AB24" i="16"/>
  <c r="AH6" i="16"/>
  <c r="AB21" i="16"/>
  <c r="AB22" i="16"/>
  <c r="AB12" i="16"/>
  <c r="AB14" i="16"/>
  <c r="AB15" i="16"/>
  <c r="AE6" i="16"/>
  <c r="AB20" i="16"/>
  <c r="AB23" i="16"/>
  <c r="S6" i="16"/>
  <c r="E29" i="16"/>
  <c r="J29" i="16"/>
  <c r="D38" i="16"/>
  <c r="D34" i="16"/>
  <c r="D35" i="16"/>
  <c r="D31" i="16"/>
  <c r="F29" i="16"/>
  <c r="D26" i="16"/>
  <c r="D19" i="16"/>
  <c r="D15" i="16"/>
  <c r="E6" i="16"/>
  <c r="D8" i="16"/>
  <c r="D21" i="16"/>
  <c r="D28" i="16"/>
  <c r="D11" i="16"/>
  <c r="D12" i="16"/>
  <c r="D20" i="16"/>
  <c r="F6" i="16"/>
  <c r="D10" i="16"/>
  <c r="D17" i="16"/>
  <c r="D23" i="16"/>
  <c r="D18" i="16"/>
  <c r="D25" i="16"/>
  <c r="AD6" i="16"/>
  <c r="AB6" i="16" s="1"/>
  <c r="D7" i="16"/>
  <c r="AP6" i="16"/>
  <c r="AN29" i="16" l="1"/>
  <c r="D29" i="16"/>
  <c r="AB29" i="16"/>
  <c r="AN6" i="16"/>
  <c r="D6" i="16"/>
  <c r="AQ28" i="15" l="1"/>
  <c r="AB3" i="13" l="1"/>
  <c r="AB3" i="14"/>
  <c r="AB3" i="15"/>
  <c r="AJ6" i="15" l="1"/>
  <c r="AI6" i="15"/>
  <c r="AG6" i="15"/>
  <c r="AF6" i="15"/>
  <c r="U6" i="15"/>
  <c r="X6" i="15"/>
  <c r="S35" i="15"/>
  <c r="AT38" i="15" l="1"/>
  <c r="AQ38" i="15"/>
  <c r="AP38" i="15"/>
  <c r="AO38" i="15"/>
  <c r="AH38" i="15"/>
  <c r="AE38" i="15"/>
  <c r="AD38" i="15"/>
  <c r="AC38" i="15"/>
  <c r="V38" i="15"/>
  <c r="S38" i="15"/>
  <c r="R38" i="15"/>
  <c r="J38" i="15"/>
  <c r="G38" i="15"/>
  <c r="F38" i="15"/>
  <c r="E38" i="15"/>
  <c r="AT37" i="15"/>
  <c r="AQ37" i="15"/>
  <c r="AP37" i="15"/>
  <c r="AO37" i="15"/>
  <c r="AH37" i="15"/>
  <c r="AE37" i="15"/>
  <c r="AD37" i="15"/>
  <c r="AC37" i="15"/>
  <c r="V37" i="15"/>
  <c r="S37" i="15"/>
  <c r="R37" i="15"/>
  <c r="J37" i="15"/>
  <c r="G37" i="15"/>
  <c r="F37" i="15"/>
  <c r="E37" i="15"/>
  <c r="AT36" i="15"/>
  <c r="AQ36" i="15"/>
  <c r="AP36" i="15"/>
  <c r="AO36" i="15"/>
  <c r="AH36" i="15"/>
  <c r="AE36" i="15"/>
  <c r="AD36" i="15"/>
  <c r="AC36" i="15"/>
  <c r="V36" i="15"/>
  <c r="S36" i="15"/>
  <c r="R36" i="15"/>
  <c r="J36" i="15"/>
  <c r="G36" i="15"/>
  <c r="F36" i="15"/>
  <c r="E36" i="15"/>
  <c r="AT35" i="15"/>
  <c r="AQ35" i="15"/>
  <c r="AP35" i="15"/>
  <c r="AO35" i="15"/>
  <c r="AD35" i="15"/>
  <c r="AC35" i="15"/>
  <c r="V35" i="15"/>
  <c r="R35" i="15"/>
  <c r="J35" i="15"/>
  <c r="G35" i="15"/>
  <c r="F35" i="15"/>
  <c r="E35" i="15"/>
  <c r="AP34" i="15"/>
  <c r="AO34" i="15"/>
  <c r="AD34" i="15"/>
  <c r="AC34" i="15"/>
  <c r="R34" i="15"/>
  <c r="J34" i="15"/>
  <c r="G34" i="15"/>
  <c r="F34" i="15"/>
  <c r="E34" i="15"/>
  <c r="AP33" i="15"/>
  <c r="AO33" i="15"/>
  <c r="AD33" i="15"/>
  <c r="AC33" i="15"/>
  <c r="R33" i="15"/>
  <c r="J33" i="15"/>
  <c r="G33" i="15"/>
  <c r="F33" i="15"/>
  <c r="E33" i="15"/>
  <c r="AP32" i="15"/>
  <c r="AO32" i="15"/>
  <c r="AD32" i="15"/>
  <c r="AC32" i="15"/>
  <c r="R32" i="15"/>
  <c r="J32" i="15"/>
  <c r="G32" i="15"/>
  <c r="F32" i="15"/>
  <c r="E32" i="15"/>
  <c r="AP31" i="15"/>
  <c r="AO31" i="15"/>
  <c r="AD31" i="15"/>
  <c r="AC31" i="15"/>
  <c r="R31" i="15"/>
  <c r="J31" i="15"/>
  <c r="F31" i="15"/>
  <c r="E31" i="15"/>
  <c r="AP30" i="15"/>
  <c r="AO30" i="15"/>
  <c r="AD30" i="15"/>
  <c r="AC30" i="15"/>
  <c r="R30" i="15"/>
  <c r="F30" i="15"/>
  <c r="E30" i="15"/>
  <c r="AV29" i="15"/>
  <c r="AU29" i="15"/>
  <c r="AS29" i="15"/>
  <c r="AR29" i="15"/>
  <c r="AQ29" i="15" s="1"/>
  <c r="AJ29" i="15"/>
  <c r="AI29" i="15"/>
  <c r="AG29" i="15"/>
  <c r="AE29" i="15" s="1"/>
  <c r="AF29" i="15"/>
  <c r="X29" i="15"/>
  <c r="V29" i="15" s="1"/>
  <c r="U29" i="15"/>
  <c r="L29" i="15"/>
  <c r="K29" i="15"/>
  <c r="I29" i="15"/>
  <c r="H29" i="15"/>
  <c r="AT28" i="15"/>
  <c r="AP28" i="15"/>
  <c r="AO28" i="15"/>
  <c r="AH28" i="15"/>
  <c r="AE28" i="15"/>
  <c r="AD28" i="15"/>
  <c r="AC28" i="15"/>
  <c r="V28" i="15"/>
  <c r="S28" i="15"/>
  <c r="R28" i="15"/>
  <c r="J28" i="15"/>
  <c r="G28" i="15"/>
  <c r="F28" i="15"/>
  <c r="E28" i="15"/>
  <c r="AT27" i="15"/>
  <c r="AQ27" i="15"/>
  <c r="AP27" i="15"/>
  <c r="AO27" i="15"/>
  <c r="AH27" i="15"/>
  <c r="AE27" i="15"/>
  <c r="AD27" i="15"/>
  <c r="AC27" i="15"/>
  <c r="V27" i="15"/>
  <c r="S27" i="15"/>
  <c r="R27" i="15"/>
  <c r="J27" i="15"/>
  <c r="G27" i="15"/>
  <c r="F27" i="15"/>
  <c r="E27" i="15"/>
  <c r="AT26" i="15"/>
  <c r="AQ26" i="15"/>
  <c r="AP26" i="15"/>
  <c r="AO26" i="15"/>
  <c r="AH26" i="15"/>
  <c r="AE26" i="15"/>
  <c r="AD26" i="15"/>
  <c r="AC26" i="15"/>
  <c r="V26" i="15"/>
  <c r="S26" i="15"/>
  <c r="R26" i="15"/>
  <c r="J26" i="15"/>
  <c r="G26" i="15"/>
  <c r="F26" i="15"/>
  <c r="E26" i="15"/>
  <c r="AT25" i="15"/>
  <c r="AQ25" i="15"/>
  <c r="AP25" i="15"/>
  <c r="AO25" i="15"/>
  <c r="AH25" i="15"/>
  <c r="AE25" i="15"/>
  <c r="AD25" i="15"/>
  <c r="AC25" i="15"/>
  <c r="V25" i="15"/>
  <c r="S25" i="15"/>
  <c r="R25" i="15"/>
  <c r="J25" i="15"/>
  <c r="G25" i="15"/>
  <c r="F25" i="15"/>
  <c r="E25" i="15"/>
  <c r="AT24" i="15"/>
  <c r="AQ24" i="15"/>
  <c r="AP24" i="15"/>
  <c r="AO24" i="15"/>
  <c r="AH24" i="15"/>
  <c r="AE24" i="15"/>
  <c r="AD24" i="15"/>
  <c r="AC24" i="15"/>
  <c r="V24" i="15"/>
  <c r="S24" i="15"/>
  <c r="R24" i="15"/>
  <c r="J24" i="15"/>
  <c r="G24" i="15"/>
  <c r="F24" i="15"/>
  <c r="E24" i="15"/>
  <c r="AT23" i="15"/>
  <c r="AQ23" i="15"/>
  <c r="AP23" i="15"/>
  <c r="AO23" i="15"/>
  <c r="AH23" i="15"/>
  <c r="AE23" i="15"/>
  <c r="AD23" i="15"/>
  <c r="AC23" i="15"/>
  <c r="V23" i="15"/>
  <c r="S23" i="15"/>
  <c r="R23" i="15"/>
  <c r="P23" i="15" s="1"/>
  <c r="J23" i="15"/>
  <c r="G23" i="15"/>
  <c r="F23" i="15"/>
  <c r="E23" i="15"/>
  <c r="AT22" i="15"/>
  <c r="AQ22" i="15"/>
  <c r="AP22" i="15"/>
  <c r="AO22" i="15"/>
  <c r="AH22" i="15"/>
  <c r="AE22" i="15"/>
  <c r="AD22" i="15"/>
  <c r="AC22" i="15"/>
  <c r="V22" i="15"/>
  <c r="S22" i="15"/>
  <c r="R22" i="15"/>
  <c r="J22" i="15"/>
  <c r="G22" i="15"/>
  <c r="F22" i="15"/>
  <c r="E22" i="15"/>
  <c r="AT21" i="15"/>
  <c r="AQ21" i="15"/>
  <c r="AP21" i="15"/>
  <c r="AO21" i="15"/>
  <c r="AH21" i="15"/>
  <c r="AE21" i="15"/>
  <c r="AD21" i="15"/>
  <c r="AC21" i="15"/>
  <c r="V21" i="15"/>
  <c r="S21" i="15"/>
  <c r="R21" i="15"/>
  <c r="J21" i="15"/>
  <c r="G21" i="15"/>
  <c r="F21" i="15"/>
  <c r="E21" i="15"/>
  <c r="AT20" i="15"/>
  <c r="AQ20" i="15"/>
  <c r="AP20" i="15"/>
  <c r="AO20" i="15"/>
  <c r="AH20" i="15"/>
  <c r="AE20" i="15"/>
  <c r="AD20" i="15"/>
  <c r="AC20" i="15"/>
  <c r="V20" i="15"/>
  <c r="S20" i="15"/>
  <c r="R20" i="15"/>
  <c r="J20" i="15"/>
  <c r="G20" i="15"/>
  <c r="F20" i="15"/>
  <c r="E20" i="15"/>
  <c r="AT19" i="15"/>
  <c r="AQ19" i="15"/>
  <c r="AP19" i="15"/>
  <c r="AO19" i="15"/>
  <c r="AH19" i="15"/>
  <c r="AE19" i="15"/>
  <c r="AD19" i="15"/>
  <c r="AC19" i="15"/>
  <c r="V19" i="15"/>
  <c r="S19" i="15"/>
  <c r="R19" i="15"/>
  <c r="J19" i="15"/>
  <c r="G19" i="15"/>
  <c r="F19" i="15"/>
  <c r="E19" i="15"/>
  <c r="AT18" i="15"/>
  <c r="AQ18" i="15"/>
  <c r="AP18" i="15"/>
  <c r="AO18" i="15"/>
  <c r="AH18" i="15"/>
  <c r="AE18" i="15"/>
  <c r="AD18" i="15"/>
  <c r="AC18" i="15"/>
  <c r="V18" i="15"/>
  <c r="S18" i="15"/>
  <c r="R18" i="15"/>
  <c r="J18" i="15"/>
  <c r="G18" i="15"/>
  <c r="F18" i="15"/>
  <c r="E18" i="15"/>
  <c r="AT17" i="15"/>
  <c r="AQ17" i="15"/>
  <c r="AP17" i="15"/>
  <c r="AO17" i="15"/>
  <c r="AH17" i="15"/>
  <c r="AE17" i="15"/>
  <c r="AD17" i="15"/>
  <c r="AC17" i="15"/>
  <c r="V17" i="15"/>
  <c r="S17" i="15"/>
  <c r="R17" i="15"/>
  <c r="J17" i="15"/>
  <c r="G17" i="15"/>
  <c r="F17" i="15"/>
  <c r="E17" i="15"/>
  <c r="AT16" i="15"/>
  <c r="AQ16" i="15"/>
  <c r="AP16" i="15"/>
  <c r="AO16" i="15"/>
  <c r="AH16" i="15"/>
  <c r="AE16" i="15"/>
  <c r="AD16" i="15"/>
  <c r="AC16" i="15"/>
  <c r="V16" i="15"/>
  <c r="S16" i="15"/>
  <c r="R16" i="15"/>
  <c r="J16" i="15"/>
  <c r="G16" i="15"/>
  <c r="F16" i="15"/>
  <c r="E16" i="15"/>
  <c r="AT15" i="15"/>
  <c r="AQ15" i="15"/>
  <c r="AP15" i="15"/>
  <c r="AO15" i="15"/>
  <c r="AH15" i="15"/>
  <c r="AE15" i="15"/>
  <c r="AD15" i="15"/>
  <c r="AC15" i="15"/>
  <c r="V15" i="15"/>
  <c r="S15" i="15"/>
  <c r="R15" i="15"/>
  <c r="J15" i="15"/>
  <c r="G15" i="15"/>
  <c r="F15" i="15"/>
  <c r="E15" i="15"/>
  <c r="AT14" i="15"/>
  <c r="AQ14" i="15"/>
  <c r="AP14" i="15"/>
  <c r="AO14" i="15"/>
  <c r="AH14" i="15"/>
  <c r="AE14" i="15"/>
  <c r="AD14" i="15"/>
  <c r="AC14" i="15"/>
  <c r="V14" i="15"/>
  <c r="S14" i="15"/>
  <c r="R14" i="15"/>
  <c r="J14" i="15"/>
  <c r="G14" i="15"/>
  <c r="F14" i="15"/>
  <c r="E14" i="15"/>
  <c r="AT13" i="15"/>
  <c r="AQ13" i="15"/>
  <c r="AP13" i="15"/>
  <c r="AO13" i="15"/>
  <c r="AH13" i="15"/>
  <c r="AE13" i="15"/>
  <c r="AD13" i="15"/>
  <c r="AC13" i="15"/>
  <c r="V13" i="15"/>
  <c r="S13" i="15"/>
  <c r="R13" i="15"/>
  <c r="J13" i="15"/>
  <c r="G13" i="15"/>
  <c r="F13" i="15"/>
  <c r="E13" i="15"/>
  <c r="AT12" i="15"/>
  <c r="AQ12" i="15"/>
  <c r="AP12" i="15"/>
  <c r="AO12" i="15"/>
  <c r="AH12" i="15"/>
  <c r="AE12" i="15"/>
  <c r="AD12" i="15"/>
  <c r="AC12" i="15"/>
  <c r="V12" i="15"/>
  <c r="S12" i="15"/>
  <c r="R12" i="15"/>
  <c r="J12" i="15"/>
  <c r="G12" i="15"/>
  <c r="F12" i="15"/>
  <c r="E12" i="15"/>
  <c r="AT11" i="15"/>
  <c r="AQ11" i="15"/>
  <c r="AP11" i="15"/>
  <c r="AO11" i="15"/>
  <c r="AH11" i="15"/>
  <c r="AE11" i="15"/>
  <c r="AD11" i="15"/>
  <c r="AC11" i="15"/>
  <c r="V11" i="15"/>
  <c r="S11" i="15"/>
  <c r="R11" i="15"/>
  <c r="J11" i="15"/>
  <c r="G11" i="15"/>
  <c r="F11" i="15"/>
  <c r="E11" i="15"/>
  <c r="AT10" i="15"/>
  <c r="AQ10" i="15"/>
  <c r="AP10" i="15"/>
  <c r="AO10" i="15"/>
  <c r="AH10" i="15"/>
  <c r="AE10" i="15"/>
  <c r="AD10" i="15"/>
  <c r="AC10" i="15"/>
  <c r="V10" i="15"/>
  <c r="S10" i="15"/>
  <c r="R10" i="15"/>
  <c r="J10" i="15"/>
  <c r="G10" i="15"/>
  <c r="F10" i="15"/>
  <c r="E10" i="15"/>
  <c r="AT9" i="15"/>
  <c r="AQ9" i="15"/>
  <c r="AP9" i="15"/>
  <c r="AO9" i="15"/>
  <c r="AH9" i="15"/>
  <c r="AE9" i="15"/>
  <c r="AD9" i="15"/>
  <c r="AC9" i="15"/>
  <c r="V9" i="15"/>
  <c r="S9" i="15"/>
  <c r="R9" i="15"/>
  <c r="J9" i="15"/>
  <c r="G9" i="15"/>
  <c r="F9" i="15"/>
  <c r="E9" i="15"/>
  <c r="AT8" i="15"/>
  <c r="AQ8" i="15"/>
  <c r="AP8" i="15"/>
  <c r="AO8" i="15"/>
  <c r="AH8" i="15"/>
  <c r="AE8" i="15"/>
  <c r="AD8" i="15"/>
  <c r="AC8" i="15"/>
  <c r="V8" i="15"/>
  <c r="S8" i="15"/>
  <c r="R8" i="15"/>
  <c r="J8" i="15"/>
  <c r="G8" i="15"/>
  <c r="F8" i="15"/>
  <c r="E8" i="15"/>
  <c r="AT7" i="15"/>
  <c r="AQ7" i="15"/>
  <c r="AP7" i="15"/>
  <c r="AO7" i="15"/>
  <c r="AH7" i="15"/>
  <c r="AE7" i="15"/>
  <c r="AD7" i="15"/>
  <c r="AC7" i="15"/>
  <c r="V7" i="15"/>
  <c r="S7" i="15"/>
  <c r="R7" i="15"/>
  <c r="J7" i="15"/>
  <c r="G7" i="15"/>
  <c r="F7" i="15"/>
  <c r="E7" i="15"/>
  <c r="AV6" i="15"/>
  <c r="AU6" i="15"/>
  <c r="AS6" i="15"/>
  <c r="AR6" i="15"/>
  <c r="AD6" i="15"/>
  <c r="S6" i="15"/>
  <c r="L6" i="15"/>
  <c r="K6" i="15"/>
  <c r="I6" i="15"/>
  <c r="H6" i="15"/>
  <c r="AN3" i="15"/>
  <c r="P3" i="15"/>
  <c r="AB14" i="15" l="1"/>
  <c r="J29" i="15"/>
  <c r="AN23" i="15"/>
  <c r="D34" i="15"/>
  <c r="D15" i="15"/>
  <c r="D19" i="15"/>
  <c r="AT6" i="15"/>
  <c r="AN28" i="15"/>
  <c r="AB9" i="15"/>
  <c r="AB12" i="15"/>
  <c r="AB22" i="15"/>
  <c r="AB10" i="15"/>
  <c r="P38" i="15"/>
  <c r="P36" i="15"/>
  <c r="V6" i="15"/>
  <c r="P9" i="15"/>
  <c r="P28" i="15"/>
  <c r="D32" i="15"/>
  <c r="D9" i="15"/>
  <c r="D11" i="15"/>
  <c r="D24" i="15"/>
  <c r="D12" i="15"/>
  <c r="D13" i="15"/>
  <c r="D21" i="15"/>
  <c r="D20" i="15"/>
  <c r="D23" i="15"/>
  <c r="D27" i="15"/>
  <c r="D28" i="15"/>
  <c r="G6" i="15"/>
  <c r="P7" i="15"/>
  <c r="P11" i="15"/>
  <c r="D16" i="15"/>
  <c r="AB16" i="15"/>
  <c r="D17" i="15"/>
  <c r="AB17" i="15"/>
  <c r="AB18" i="15"/>
  <c r="AH29" i="15"/>
  <c r="D36" i="15"/>
  <c r="AN22" i="15"/>
  <c r="D35" i="15"/>
  <c r="AT29" i="15"/>
  <c r="P35" i="15"/>
  <c r="AC6" i="15"/>
  <c r="AB6" i="15" s="1"/>
  <c r="D7" i="15"/>
  <c r="AB7" i="15"/>
  <c r="D8" i="15"/>
  <c r="AN19" i="15"/>
  <c r="AN21" i="15"/>
  <c r="AB24" i="15"/>
  <c r="D25" i="15"/>
  <c r="D26" i="15"/>
  <c r="AN35" i="15"/>
  <c r="AN36" i="15"/>
  <c r="AN38" i="15"/>
  <c r="AP29" i="15"/>
  <c r="AN37" i="15"/>
  <c r="AO29" i="15"/>
  <c r="AN18" i="15"/>
  <c r="AN16" i="15"/>
  <c r="AN7" i="15"/>
  <c r="AN25" i="15"/>
  <c r="AN10" i="15"/>
  <c r="AN14" i="15"/>
  <c r="AN15" i="15"/>
  <c r="AN17" i="15"/>
  <c r="AN20" i="15"/>
  <c r="AQ6" i="15"/>
  <c r="AN8" i="15"/>
  <c r="AN9" i="15"/>
  <c r="AN11" i="15"/>
  <c r="AN24" i="15"/>
  <c r="AN26" i="15"/>
  <c r="AN27" i="15"/>
  <c r="AO6" i="15"/>
  <c r="AN12" i="15"/>
  <c r="AN13" i="15"/>
  <c r="AB36" i="15"/>
  <c r="AB37" i="15"/>
  <c r="AB38" i="15"/>
  <c r="AD29" i="15"/>
  <c r="AC29" i="15"/>
  <c r="AB26" i="15"/>
  <c r="AB28" i="15"/>
  <c r="AB19" i="15"/>
  <c r="AB20" i="15"/>
  <c r="AH6" i="15"/>
  <c r="AB8" i="15"/>
  <c r="AB11" i="15"/>
  <c r="AB21" i="15"/>
  <c r="AB27" i="15"/>
  <c r="AB13" i="15"/>
  <c r="AB23" i="15"/>
  <c r="AE6" i="15"/>
  <c r="AB15" i="15"/>
  <c r="AB25" i="15"/>
  <c r="P13" i="15"/>
  <c r="R6" i="15"/>
  <c r="P15" i="15"/>
  <c r="P17" i="15"/>
  <c r="P25" i="15"/>
  <c r="P27" i="15"/>
  <c r="P19" i="15"/>
  <c r="P21" i="15"/>
  <c r="P22" i="15"/>
  <c r="P12" i="15"/>
  <c r="P24" i="15"/>
  <c r="P8" i="15"/>
  <c r="P14" i="15"/>
  <c r="P20" i="15"/>
  <c r="P26" i="15"/>
  <c r="P10" i="15"/>
  <c r="P16" i="15"/>
  <c r="P18" i="15"/>
  <c r="R29" i="15"/>
  <c r="P37" i="15"/>
  <c r="S29" i="15"/>
  <c r="D37" i="15"/>
  <c r="D38" i="15"/>
  <c r="E29" i="15"/>
  <c r="F29" i="15"/>
  <c r="G29" i="15"/>
  <c r="D31" i="15"/>
  <c r="D33" i="15"/>
  <c r="D14" i="15"/>
  <c r="D18" i="15"/>
  <c r="D10" i="15"/>
  <c r="J6" i="15"/>
  <c r="D22" i="15"/>
  <c r="E6" i="15"/>
  <c r="F6" i="15"/>
  <c r="D6" i="15" s="1"/>
  <c r="AP6" i="15"/>
  <c r="AT28" i="14"/>
  <c r="AN29" i="15" l="1"/>
  <c r="P29" i="15"/>
  <c r="P6" i="15"/>
  <c r="AN6" i="15"/>
  <c r="AB29" i="15"/>
  <c r="D29" i="15"/>
  <c r="AJ6" i="14"/>
  <c r="AI6" i="14"/>
  <c r="AG6" i="14"/>
  <c r="AF6" i="14"/>
  <c r="V38" i="14" l="1"/>
  <c r="S38" i="14"/>
  <c r="R38" i="14"/>
  <c r="AT38" i="14"/>
  <c r="AQ38" i="14"/>
  <c r="AP38" i="14"/>
  <c r="AO38" i="14"/>
  <c r="AH38" i="14"/>
  <c r="AE38" i="14"/>
  <c r="AD38" i="14"/>
  <c r="AC38" i="14"/>
  <c r="J38" i="14"/>
  <c r="G38" i="14"/>
  <c r="F38" i="14"/>
  <c r="E38" i="14"/>
  <c r="V37" i="14"/>
  <c r="S37" i="14"/>
  <c r="R37" i="14"/>
  <c r="AT37" i="14"/>
  <c r="AQ37" i="14"/>
  <c r="AP37" i="14"/>
  <c r="AO37" i="14"/>
  <c r="AH37" i="14"/>
  <c r="AE37" i="14"/>
  <c r="AD37" i="14"/>
  <c r="AC37" i="14"/>
  <c r="J37" i="14"/>
  <c r="G37" i="14"/>
  <c r="F37" i="14"/>
  <c r="E37" i="14"/>
  <c r="V36" i="14"/>
  <c r="S36" i="14"/>
  <c r="R36" i="14"/>
  <c r="AT36" i="14"/>
  <c r="AQ36" i="14"/>
  <c r="AP36" i="14"/>
  <c r="AO36" i="14"/>
  <c r="AH36" i="14"/>
  <c r="AE36" i="14"/>
  <c r="AD36" i="14"/>
  <c r="AC36" i="14"/>
  <c r="J36" i="14"/>
  <c r="G36" i="14"/>
  <c r="F36" i="14"/>
  <c r="E36" i="14"/>
  <c r="V35" i="14"/>
  <c r="S35" i="14"/>
  <c r="R35" i="14"/>
  <c r="AT35" i="14"/>
  <c r="AQ35" i="14"/>
  <c r="AP35" i="14"/>
  <c r="AO35" i="14"/>
  <c r="AD35" i="14"/>
  <c r="AC35" i="14"/>
  <c r="J35" i="14"/>
  <c r="G35" i="14"/>
  <c r="F35" i="14"/>
  <c r="E35" i="14"/>
  <c r="R34" i="14"/>
  <c r="AP34" i="14"/>
  <c r="AO34" i="14"/>
  <c r="AD34" i="14"/>
  <c r="AC34" i="14"/>
  <c r="J34" i="14"/>
  <c r="G34" i="14"/>
  <c r="F34" i="14"/>
  <c r="E34" i="14"/>
  <c r="R33" i="14"/>
  <c r="AP33" i="14"/>
  <c r="AO33" i="14"/>
  <c r="AD33" i="14"/>
  <c r="AC33" i="14"/>
  <c r="J33" i="14"/>
  <c r="G33" i="14"/>
  <c r="F33" i="14"/>
  <c r="E33" i="14"/>
  <c r="R32" i="14"/>
  <c r="AP32" i="14"/>
  <c r="AO32" i="14"/>
  <c r="AD32" i="14"/>
  <c r="AC32" i="14"/>
  <c r="J32" i="14"/>
  <c r="G32" i="14"/>
  <c r="F32" i="14"/>
  <c r="E32" i="14"/>
  <c r="R31" i="14"/>
  <c r="AP31" i="14"/>
  <c r="AO31" i="14"/>
  <c r="AD31" i="14"/>
  <c r="AC31" i="14"/>
  <c r="J31" i="14"/>
  <c r="G31" i="14"/>
  <c r="F31" i="14"/>
  <c r="E31" i="14"/>
  <c r="R30" i="14"/>
  <c r="AP30" i="14"/>
  <c r="AO30" i="14"/>
  <c r="AD30" i="14"/>
  <c r="AC30" i="14"/>
  <c r="F30" i="14"/>
  <c r="E30" i="14"/>
  <c r="X29" i="14"/>
  <c r="U29" i="14"/>
  <c r="AV29" i="14"/>
  <c r="AU29" i="14"/>
  <c r="AS29" i="14"/>
  <c r="AR29" i="14"/>
  <c r="AJ29" i="14"/>
  <c r="AI29" i="14"/>
  <c r="AG29" i="14"/>
  <c r="AF29" i="14"/>
  <c r="L29" i="14"/>
  <c r="K29" i="14"/>
  <c r="I29" i="14"/>
  <c r="H29" i="14"/>
  <c r="V28" i="14"/>
  <c r="S28" i="14"/>
  <c r="R28" i="14"/>
  <c r="AP28" i="14"/>
  <c r="AO28" i="14"/>
  <c r="AH28" i="14"/>
  <c r="AE28" i="14"/>
  <c r="AD28" i="14"/>
  <c r="AC28" i="14"/>
  <c r="J28" i="14"/>
  <c r="G28" i="14"/>
  <c r="F28" i="14"/>
  <c r="E28" i="14"/>
  <c r="V27" i="14"/>
  <c r="S27" i="14"/>
  <c r="R27" i="14"/>
  <c r="AT27" i="14"/>
  <c r="AQ27" i="14"/>
  <c r="AP27" i="14"/>
  <c r="AO27" i="14"/>
  <c r="AH27" i="14"/>
  <c r="AE27" i="14"/>
  <c r="AD27" i="14"/>
  <c r="AC27" i="14"/>
  <c r="J27" i="14"/>
  <c r="G27" i="14"/>
  <c r="F27" i="14"/>
  <c r="E27" i="14"/>
  <c r="V26" i="14"/>
  <c r="S26" i="14"/>
  <c r="R26" i="14"/>
  <c r="AT26" i="14"/>
  <c r="AQ26" i="14"/>
  <c r="AP26" i="14"/>
  <c r="AO26" i="14"/>
  <c r="AH26" i="14"/>
  <c r="AE26" i="14"/>
  <c r="AD26" i="14"/>
  <c r="AC26" i="14"/>
  <c r="J26" i="14"/>
  <c r="G26" i="14"/>
  <c r="F26" i="14"/>
  <c r="E26" i="14"/>
  <c r="V25" i="14"/>
  <c r="S25" i="14"/>
  <c r="R25" i="14"/>
  <c r="AT25" i="14"/>
  <c r="AQ25" i="14"/>
  <c r="AP25" i="14"/>
  <c r="AO25" i="14"/>
  <c r="AH25" i="14"/>
  <c r="AE25" i="14"/>
  <c r="AD25" i="14"/>
  <c r="AC25" i="14"/>
  <c r="J25" i="14"/>
  <c r="G25" i="14"/>
  <c r="F25" i="14"/>
  <c r="E25" i="14"/>
  <c r="V24" i="14"/>
  <c r="S24" i="14"/>
  <c r="R24" i="14"/>
  <c r="AT24" i="14"/>
  <c r="AQ24" i="14"/>
  <c r="AP24" i="14"/>
  <c r="AO24" i="14"/>
  <c r="AH24" i="14"/>
  <c r="AE24" i="14"/>
  <c r="AD24" i="14"/>
  <c r="AC24" i="14"/>
  <c r="J24" i="14"/>
  <c r="G24" i="14"/>
  <c r="F24" i="14"/>
  <c r="E24" i="14"/>
  <c r="V23" i="14"/>
  <c r="S23" i="14"/>
  <c r="R23" i="14"/>
  <c r="AT23" i="14"/>
  <c r="AQ23" i="14"/>
  <c r="AP23" i="14"/>
  <c r="AO23" i="14"/>
  <c r="AH23" i="14"/>
  <c r="AE23" i="14"/>
  <c r="AD23" i="14"/>
  <c r="AC23" i="14"/>
  <c r="J23" i="14"/>
  <c r="G23" i="14"/>
  <c r="F23" i="14"/>
  <c r="E23" i="14"/>
  <c r="D23" i="14" s="1"/>
  <c r="V22" i="14"/>
  <c r="S22" i="14"/>
  <c r="R22" i="14"/>
  <c r="AT22" i="14"/>
  <c r="AQ22" i="14"/>
  <c r="AP22" i="14"/>
  <c r="AO22" i="14"/>
  <c r="AH22" i="14"/>
  <c r="AE22" i="14"/>
  <c r="AD22" i="14"/>
  <c r="AC22" i="14"/>
  <c r="J22" i="14"/>
  <c r="G22" i="14"/>
  <c r="F22" i="14"/>
  <c r="E22" i="14"/>
  <c r="V21" i="14"/>
  <c r="S21" i="14"/>
  <c r="R21" i="14"/>
  <c r="AT21" i="14"/>
  <c r="AQ21" i="14"/>
  <c r="AP21" i="14"/>
  <c r="AO21" i="14"/>
  <c r="AH21" i="14"/>
  <c r="AE21" i="14"/>
  <c r="AD21" i="14"/>
  <c r="AC21" i="14"/>
  <c r="J21" i="14"/>
  <c r="G21" i="14"/>
  <c r="F21" i="14"/>
  <c r="E21" i="14"/>
  <c r="V20" i="14"/>
  <c r="S20" i="14"/>
  <c r="R20" i="14"/>
  <c r="AT20" i="14"/>
  <c r="AQ20" i="14"/>
  <c r="AP20" i="14"/>
  <c r="AO20" i="14"/>
  <c r="AH20" i="14"/>
  <c r="AE20" i="14"/>
  <c r="AD20" i="14"/>
  <c r="AC20" i="14"/>
  <c r="J20" i="14"/>
  <c r="G20" i="14"/>
  <c r="F20" i="14"/>
  <c r="E20" i="14"/>
  <c r="V19" i="14"/>
  <c r="S19" i="14"/>
  <c r="R19" i="14"/>
  <c r="AT19" i="14"/>
  <c r="AQ19" i="14"/>
  <c r="AP19" i="14"/>
  <c r="AO19" i="14"/>
  <c r="AH19" i="14"/>
  <c r="AE19" i="14"/>
  <c r="AD19" i="14"/>
  <c r="AC19" i="14"/>
  <c r="J19" i="14"/>
  <c r="G19" i="14"/>
  <c r="F19" i="14"/>
  <c r="E19" i="14"/>
  <c r="V18" i="14"/>
  <c r="S18" i="14"/>
  <c r="R18" i="14"/>
  <c r="AT18" i="14"/>
  <c r="AQ18" i="14"/>
  <c r="AP18" i="14"/>
  <c r="AO18" i="14"/>
  <c r="AH18" i="14"/>
  <c r="AE18" i="14"/>
  <c r="AD18" i="14"/>
  <c r="AC18" i="14"/>
  <c r="J18" i="14"/>
  <c r="G18" i="14"/>
  <c r="F18" i="14"/>
  <c r="E18" i="14"/>
  <c r="V17" i="14"/>
  <c r="S17" i="14"/>
  <c r="R17" i="14"/>
  <c r="AT17" i="14"/>
  <c r="AQ17" i="14"/>
  <c r="AP17" i="14"/>
  <c r="AO17" i="14"/>
  <c r="AH17" i="14"/>
  <c r="AE17" i="14"/>
  <c r="AD17" i="14"/>
  <c r="AC17" i="14"/>
  <c r="J17" i="14"/>
  <c r="G17" i="14"/>
  <c r="F17" i="14"/>
  <c r="E17" i="14"/>
  <c r="V16" i="14"/>
  <c r="S16" i="14"/>
  <c r="R16" i="14"/>
  <c r="P16" i="14" s="1"/>
  <c r="AT16" i="14"/>
  <c r="AQ16" i="14"/>
  <c r="AP16" i="14"/>
  <c r="AO16" i="14"/>
  <c r="AH16" i="14"/>
  <c r="AE16" i="14"/>
  <c r="AD16" i="14"/>
  <c r="AC16" i="14"/>
  <c r="J16" i="14"/>
  <c r="G16" i="14"/>
  <c r="F16" i="14"/>
  <c r="E16" i="14"/>
  <c r="V15" i="14"/>
  <c r="S15" i="14"/>
  <c r="R15" i="14"/>
  <c r="AT15" i="14"/>
  <c r="AQ15" i="14"/>
  <c r="AP15" i="14"/>
  <c r="AO15" i="14"/>
  <c r="AH15" i="14"/>
  <c r="AE15" i="14"/>
  <c r="AD15" i="14"/>
  <c r="AC15" i="14"/>
  <c r="J15" i="14"/>
  <c r="G15" i="14"/>
  <c r="F15" i="14"/>
  <c r="E15" i="14"/>
  <c r="V14" i="14"/>
  <c r="S14" i="14"/>
  <c r="R14" i="14"/>
  <c r="AT14" i="14"/>
  <c r="AQ14" i="14"/>
  <c r="AP14" i="14"/>
  <c r="AO14" i="14"/>
  <c r="AH14" i="14"/>
  <c r="AE14" i="14"/>
  <c r="AD14" i="14"/>
  <c r="AC14" i="14"/>
  <c r="J14" i="14"/>
  <c r="G14" i="14"/>
  <c r="F14" i="14"/>
  <c r="E14" i="14"/>
  <c r="V13" i="14"/>
  <c r="S13" i="14"/>
  <c r="R13" i="14"/>
  <c r="AT13" i="14"/>
  <c r="AQ13" i="14"/>
  <c r="AP13" i="14"/>
  <c r="AO13" i="14"/>
  <c r="AH13" i="14"/>
  <c r="AE13" i="14"/>
  <c r="AD13" i="14"/>
  <c r="AC13" i="14"/>
  <c r="J13" i="14"/>
  <c r="G13" i="14"/>
  <c r="F13" i="14"/>
  <c r="E13" i="14"/>
  <c r="V12" i="14"/>
  <c r="S12" i="14"/>
  <c r="R12" i="14"/>
  <c r="P12" i="14"/>
  <c r="AT12" i="14"/>
  <c r="AQ12" i="14"/>
  <c r="AP12" i="14"/>
  <c r="AO12" i="14"/>
  <c r="AH12" i="14"/>
  <c r="AE12" i="14"/>
  <c r="AD12" i="14"/>
  <c r="AC12" i="14"/>
  <c r="J12" i="14"/>
  <c r="G12" i="14"/>
  <c r="F12" i="14"/>
  <c r="E12" i="14"/>
  <c r="V11" i="14"/>
  <c r="S11" i="14"/>
  <c r="R11" i="14"/>
  <c r="AT11" i="14"/>
  <c r="AQ11" i="14"/>
  <c r="AP11" i="14"/>
  <c r="AO11" i="14"/>
  <c r="AH11" i="14"/>
  <c r="AE11" i="14"/>
  <c r="AD11" i="14"/>
  <c r="AC11" i="14"/>
  <c r="J11" i="14"/>
  <c r="G11" i="14"/>
  <c r="F11" i="14"/>
  <c r="E11" i="14"/>
  <c r="V10" i="14"/>
  <c r="S10" i="14"/>
  <c r="R10" i="14"/>
  <c r="AT10" i="14"/>
  <c r="AQ10" i="14"/>
  <c r="AP10" i="14"/>
  <c r="AO10" i="14"/>
  <c r="AH10" i="14"/>
  <c r="AE10" i="14"/>
  <c r="AD10" i="14"/>
  <c r="AC10" i="14"/>
  <c r="J10" i="14"/>
  <c r="G10" i="14"/>
  <c r="F10" i="14"/>
  <c r="E10" i="14"/>
  <c r="V9" i="14"/>
  <c r="S9" i="14"/>
  <c r="R9" i="14"/>
  <c r="AT9" i="14"/>
  <c r="AQ9" i="14"/>
  <c r="AP9" i="14"/>
  <c r="AO9" i="14"/>
  <c r="AH9" i="14"/>
  <c r="AE9" i="14"/>
  <c r="AD9" i="14"/>
  <c r="AC9" i="14"/>
  <c r="J9" i="14"/>
  <c r="G9" i="14"/>
  <c r="F9" i="14"/>
  <c r="E9" i="14"/>
  <c r="V8" i="14"/>
  <c r="S8" i="14"/>
  <c r="R8" i="14"/>
  <c r="AT8" i="14"/>
  <c r="AQ8" i="14"/>
  <c r="AP8" i="14"/>
  <c r="AO8" i="14"/>
  <c r="AH8" i="14"/>
  <c r="AE8" i="14"/>
  <c r="AD8" i="14"/>
  <c r="AC8" i="14"/>
  <c r="J8" i="14"/>
  <c r="G8" i="14"/>
  <c r="F8" i="14"/>
  <c r="E8" i="14"/>
  <c r="V7" i="14"/>
  <c r="S7" i="14"/>
  <c r="R7" i="14"/>
  <c r="AT7" i="14"/>
  <c r="AQ7" i="14"/>
  <c r="AP7" i="14"/>
  <c r="AO7" i="14"/>
  <c r="AH7" i="14"/>
  <c r="AE7" i="14"/>
  <c r="AD7" i="14"/>
  <c r="AC7" i="14"/>
  <c r="J7" i="14"/>
  <c r="G7" i="14"/>
  <c r="F7" i="14"/>
  <c r="E7" i="14"/>
  <c r="X6" i="14"/>
  <c r="V6" i="14" s="1"/>
  <c r="U6" i="14"/>
  <c r="S6" i="14" s="1"/>
  <c r="AV6" i="14"/>
  <c r="AU6" i="14"/>
  <c r="AS6" i="14"/>
  <c r="AR6" i="14"/>
  <c r="AH6" i="14"/>
  <c r="L6" i="14"/>
  <c r="K6" i="14"/>
  <c r="I6" i="14"/>
  <c r="H6" i="14"/>
  <c r="P3" i="14"/>
  <c r="AN3" i="14"/>
  <c r="V38" i="11"/>
  <c r="V37" i="11"/>
  <c r="V36" i="11"/>
  <c r="V35" i="11"/>
  <c r="S38" i="11"/>
  <c r="S37" i="11"/>
  <c r="S36" i="11"/>
  <c r="S35" i="11"/>
  <c r="V38" i="10"/>
  <c r="V37" i="10"/>
  <c r="V36" i="10"/>
  <c r="V35" i="10"/>
  <c r="U29" i="10"/>
  <c r="S37" i="10"/>
  <c r="S36" i="10"/>
  <c r="S35" i="10"/>
  <c r="S38" i="10"/>
  <c r="V38" i="8"/>
  <c r="V37" i="8"/>
  <c r="V36" i="8"/>
  <c r="V35" i="8"/>
  <c r="S38" i="8"/>
  <c r="S37" i="8"/>
  <c r="S36" i="8"/>
  <c r="S35" i="8"/>
  <c r="V37" i="3"/>
  <c r="V36" i="3"/>
  <c r="V35" i="3"/>
  <c r="S37" i="3"/>
  <c r="S36" i="3"/>
  <c r="S35" i="3"/>
  <c r="V38" i="12"/>
  <c r="V37" i="12"/>
  <c r="V36" i="12"/>
  <c r="V35" i="12"/>
  <c r="S38" i="12"/>
  <c r="S37" i="12"/>
  <c r="S36" i="12"/>
  <c r="S35" i="12"/>
  <c r="V37" i="13"/>
  <c r="V36" i="13"/>
  <c r="V35" i="13"/>
  <c r="S37" i="13"/>
  <c r="S36" i="13"/>
  <c r="S35" i="13"/>
  <c r="V28" i="13"/>
  <c r="V27" i="13"/>
  <c r="V26" i="13"/>
  <c r="V25" i="13"/>
  <c r="V24" i="13"/>
  <c r="V23" i="13"/>
  <c r="V22" i="13"/>
  <c r="V21" i="13"/>
  <c r="V20" i="13"/>
  <c r="V19" i="13"/>
  <c r="V18" i="13"/>
  <c r="V17" i="13"/>
  <c r="V16" i="13"/>
  <c r="V15" i="13"/>
  <c r="V14" i="13"/>
  <c r="V13" i="13"/>
  <c r="V12" i="13"/>
  <c r="V11" i="13"/>
  <c r="V10" i="13"/>
  <c r="V9" i="13"/>
  <c r="V8" i="13"/>
  <c r="V7" i="13"/>
  <c r="S28" i="13"/>
  <c r="S27" i="13"/>
  <c r="S26" i="13"/>
  <c r="S25" i="13"/>
  <c r="S24" i="13"/>
  <c r="S23" i="13"/>
  <c r="S22" i="13"/>
  <c r="S21" i="13"/>
  <c r="S20" i="13"/>
  <c r="S19" i="13"/>
  <c r="S18" i="13"/>
  <c r="S17" i="13"/>
  <c r="S16" i="13"/>
  <c r="S15" i="13"/>
  <c r="S14" i="13"/>
  <c r="S13" i="13"/>
  <c r="S12" i="13"/>
  <c r="S11" i="13"/>
  <c r="S10" i="13"/>
  <c r="S9" i="13"/>
  <c r="S8" i="13"/>
  <c r="S7" i="13"/>
  <c r="V28" i="12"/>
  <c r="V27" i="12"/>
  <c r="V26" i="12"/>
  <c r="V25" i="12"/>
  <c r="V24" i="12"/>
  <c r="V23" i="12"/>
  <c r="V22" i="12"/>
  <c r="V21" i="12"/>
  <c r="V20" i="12"/>
  <c r="V19" i="12"/>
  <c r="V18" i="12"/>
  <c r="V17" i="12"/>
  <c r="V16" i="12"/>
  <c r="V15" i="12"/>
  <c r="V14" i="12"/>
  <c r="V13" i="12"/>
  <c r="V12" i="12"/>
  <c r="V11" i="12"/>
  <c r="V10" i="12"/>
  <c r="V9" i="12"/>
  <c r="V8" i="12"/>
  <c r="V7" i="12"/>
  <c r="S28" i="12"/>
  <c r="S27" i="12"/>
  <c r="S26" i="12"/>
  <c r="S25" i="12"/>
  <c r="S24" i="12"/>
  <c r="S23" i="12"/>
  <c r="S22" i="12"/>
  <c r="S21" i="12"/>
  <c r="S20" i="12"/>
  <c r="S19" i="12"/>
  <c r="S18" i="12"/>
  <c r="S17" i="12"/>
  <c r="S16" i="12"/>
  <c r="S15" i="12"/>
  <c r="S14" i="12"/>
  <c r="S13" i="12"/>
  <c r="S12" i="12"/>
  <c r="S11" i="12"/>
  <c r="S10" i="12"/>
  <c r="S9" i="12"/>
  <c r="S8" i="12"/>
  <c r="S7" i="12"/>
  <c r="V28" i="3"/>
  <c r="V27" i="3"/>
  <c r="V26" i="3"/>
  <c r="V25" i="3"/>
  <c r="V24" i="3"/>
  <c r="V23" i="3"/>
  <c r="V22" i="3"/>
  <c r="V21" i="3"/>
  <c r="V20" i="3"/>
  <c r="V19" i="3"/>
  <c r="V18" i="3"/>
  <c r="V17" i="3"/>
  <c r="V16" i="3"/>
  <c r="V15" i="3"/>
  <c r="V14" i="3"/>
  <c r="V13" i="3"/>
  <c r="V12" i="3"/>
  <c r="V11" i="3"/>
  <c r="V10" i="3"/>
  <c r="V9" i="3"/>
  <c r="V8" i="3"/>
  <c r="V7" i="3"/>
  <c r="S28" i="3"/>
  <c r="S27" i="3"/>
  <c r="S26" i="3"/>
  <c r="S25" i="3"/>
  <c r="S24" i="3"/>
  <c r="S23" i="3"/>
  <c r="S22" i="3"/>
  <c r="S21" i="3"/>
  <c r="S20" i="3"/>
  <c r="S19" i="3"/>
  <c r="S18" i="3"/>
  <c r="S17" i="3"/>
  <c r="S16" i="3"/>
  <c r="S15" i="3"/>
  <c r="S14" i="3"/>
  <c r="S13" i="3"/>
  <c r="S12" i="3"/>
  <c r="S11" i="3"/>
  <c r="S10" i="3"/>
  <c r="S9" i="3"/>
  <c r="S8" i="3"/>
  <c r="S7" i="3"/>
  <c r="V28" i="8"/>
  <c r="V27" i="8"/>
  <c r="V26" i="8"/>
  <c r="V25" i="8"/>
  <c r="V24" i="8"/>
  <c r="V23" i="8"/>
  <c r="V22" i="8"/>
  <c r="V21" i="8"/>
  <c r="V20" i="8"/>
  <c r="V19" i="8"/>
  <c r="V18" i="8"/>
  <c r="V17" i="8"/>
  <c r="V16" i="8"/>
  <c r="V15" i="8"/>
  <c r="V14" i="8"/>
  <c r="V13" i="8"/>
  <c r="V12" i="8"/>
  <c r="V11" i="8"/>
  <c r="V10" i="8"/>
  <c r="V9" i="8"/>
  <c r="V8" i="8"/>
  <c r="V7" i="8"/>
  <c r="S28" i="8"/>
  <c r="S27" i="8"/>
  <c r="S26" i="8"/>
  <c r="S25" i="8"/>
  <c r="S24" i="8"/>
  <c r="S23" i="8"/>
  <c r="S22" i="8"/>
  <c r="S21" i="8"/>
  <c r="S20" i="8"/>
  <c r="S19" i="8"/>
  <c r="S18" i="8"/>
  <c r="S17" i="8"/>
  <c r="S16" i="8"/>
  <c r="S15" i="8"/>
  <c r="S14" i="8"/>
  <c r="S13" i="8"/>
  <c r="S12" i="8"/>
  <c r="S11" i="8"/>
  <c r="S10" i="8"/>
  <c r="S9" i="8"/>
  <c r="S8" i="8"/>
  <c r="S7" i="8"/>
  <c r="V28" i="10"/>
  <c r="V27" i="10"/>
  <c r="V26" i="10"/>
  <c r="V25" i="10"/>
  <c r="V24" i="10"/>
  <c r="V23" i="10"/>
  <c r="V22" i="10"/>
  <c r="V21" i="10"/>
  <c r="V20" i="10"/>
  <c r="V19" i="10"/>
  <c r="V18" i="10"/>
  <c r="V17" i="10"/>
  <c r="V16" i="10"/>
  <c r="V15" i="10"/>
  <c r="V14" i="10"/>
  <c r="V13" i="10"/>
  <c r="V12" i="10"/>
  <c r="V11" i="10"/>
  <c r="V10" i="10"/>
  <c r="V9" i="10"/>
  <c r="V8" i="10"/>
  <c r="V7" i="10"/>
  <c r="S28" i="10"/>
  <c r="S27" i="10"/>
  <c r="S26" i="10"/>
  <c r="S25" i="10"/>
  <c r="S24" i="10"/>
  <c r="S23" i="10"/>
  <c r="S22" i="10"/>
  <c r="S21" i="10"/>
  <c r="S20" i="10"/>
  <c r="S19" i="10"/>
  <c r="S18" i="10"/>
  <c r="S17" i="10"/>
  <c r="S16" i="10"/>
  <c r="S15" i="10"/>
  <c r="S14" i="10"/>
  <c r="S13" i="10"/>
  <c r="S12" i="10"/>
  <c r="S11" i="10"/>
  <c r="S10" i="10"/>
  <c r="S9" i="10"/>
  <c r="S8" i="10"/>
  <c r="S7" i="10"/>
  <c r="V28" i="11"/>
  <c r="V27" i="11"/>
  <c r="V26" i="11"/>
  <c r="V25" i="11"/>
  <c r="V24" i="11"/>
  <c r="V23" i="11"/>
  <c r="V22" i="11"/>
  <c r="V21" i="11"/>
  <c r="V20" i="11"/>
  <c r="V19" i="11"/>
  <c r="V18" i="11"/>
  <c r="V17" i="11"/>
  <c r="V16" i="11"/>
  <c r="V15" i="11"/>
  <c r="V14" i="11"/>
  <c r="V13" i="11"/>
  <c r="V12" i="11"/>
  <c r="V11" i="11"/>
  <c r="V10" i="11"/>
  <c r="V9" i="11"/>
  <c r="V8" i="11"/>
  <c r="V7" i="11"/>
  <c r="S28" i="11"/>
  <c r="S27" i="11"/>
  <c r="S26" i="11"/>
  <c r="S25" i="11"/>
  <c r="S24" i="11"/>
  <c r="S23" i="11"/>
  <c r="S22" i="11"/>
  <c r="S21" i="11"/>
  <c r="S20" i="11"/>
  <c r="S19" i="11"/>
  <c r="S18" i="11"/>
  <c r="S17" i="11"/>
  <c r="S16" i="11"/>
  <c r="S15" i="11"/>
  <c r="S14" i="11"/>
  <c r="S13" i="11"/>
  <c r="S12" i="11"/>
  <c r="S11" i="11"/>
  <c r="S10" i="11"/>
  <c r="S9" i="11"/>
  <c r="S8" i="11"/>
  <c r="S7" i="11"/>
  <c r="D7" i="14" l="1"/>
  <c r="P22" i="14"/>
  <c r="AB25" i="14"/>
  <c r="AB26" i="14"/>
  <c r="AN36" i="14"/>
  <c r="D38" i="14"/>
  <c r="E29" i="14"/>
  <c r="AN25" i="14"/>
  <c r="D27" i="14"/>
  <c r="G29" i="14"/>
  <c r="P7" i="14"/>
  <c r="AB8" i="14"/>
  <c r="P8" i="14"/>
  <c r="AB10" i="14"/>
  <c r="D11" i="14"/>
  <c r="R6" i="14"/>
  <c r="AN13" i="14"/>
  <c r="AN15" i="14"/>
  <c r="AN17" i="14"/>
  <c r="AQ6" i="14"/>
  <c r="AB37" i="14"/>
  <c r="AE29" i="14"/>
  <c r="AB14" i="14"/>
  <c r="AB17" i="14"/>
  <c r="AB18" i="14"/>
  <c r="AB22" i="14"/>
  <c r="AB9" i="14"/>
  <c r="S29" i="14"/>
  <c r="P26" i="14"/>
  <c r="P28" i="14"/>
  <c r="P14" i="14"/>
  <c r="D32" i="14"/>
  <c r="D33" i="14"/>
  <c r="D19" i="14"/>
  <c r="D21" i="14"/>
  <c r="D15" i="14"/>
  <c r="D9" i="14"/>
  <c r="D10" i="14"/>
  <c r="D17" i="14"/>
  <c r="D13" i="14"/>
  <c r="D25" i="14"/>
  <c r="D14" i="14"/>
  <c r="AB16" i="14"/>
  <c r="AN7" i="14"/>
  <c r="D8" i="14"/>
  <c r="AN9" i="14"/>
  <c r="AB13" i="14"/>
  <c r="AN21" i="14"/>
  <c r="D22" i="14"/>
  <c r="AN38" i="14"/>
  <c r="D18" i="14"/>
  <c r="J6" i="14"/>
  <c r="D36" i="14"/>
  <c r="AO6" i="14"/>
  <c r="AB12" i="14"/>
  <c r="D20" i="14"/>
  <c r="P24" i="14"/>
  <c r="AB36" i="14"/>
  <c r="AN27" i="14"/>
  <c r="D34" i="14"/>
  <c r="E6" i="14"/>
  <c r="AN19" i="14"/>
  <c r="D31" i="14"/>
  <c r="D37" i="14"/>
  <c r="AN10" i="14"/>
  <c r="P13" i="14"/>
  <c r="D16" i="14"/>
  <c r="P18" i="14"/>
  <c r="AB28" i="14"/>
  <c r="V29" i="14"/>
  <c r="P10" i="14"/>
  <c r="AN18" i="14"/>
  <c r="D28" i="14"/>
  <c r="AB24" i="14"/>
  <c r="AN11" i="14"/>
  <c r="D12" i="14"/>
  <c r="AN12" i="14"/>
  <c r="AB20" i="14"/>
  <c r="P20" i="14"/>
  <c r="AB21" i="14"/>
  <c r="AN23" i="14"/>
  <c r="D24" i="14"/>
  <c r="AN24" i="14"/>
  <c r="P37" i="14"/>
  <c r="AB38" i="14"/>
  <c r="P35" i="14"/>
  <c r="P38" i="14"/>
  <c r="P36" i="14"/>
  <c r="R29" i="14"/>
  <c r="P25" i="14"/>
  <c r="P9" i="14"/>
  <c r="P19" i="14"/>
  <c r="P27" i="14"/>
  <c r="P11" i="14"/>
  <c r="P21" i="14"/>
  <c r="P15" i="14"/>
  <c r="P17" i="14"/>
  <c r="P23" i="14"/>
  <c r="AQ29" i="14"/>
  <c r="AT29" i="14"/>
  <c r="AN35" i="14"/>
  <c r="AP29" i="14"/>
  <c r="AN37" i="14"/>
  <c r="AO29" i="14"/>
  <c r="AT6" i="14"/>
  <c r="AN20" i="14"/>
  <c r="AN16" i="14"/>
  <c r="AN8" i="14"/>
  <c r="AN26" i="14"/>
  <c r="AN22" i="14"/>
  <c r="AP6" i="14"/>
  <c r="AN14" i="14"/>
  <c r="AN28" i="14"/>
  <c r="AH29" i="14"/>
  <c r="AC29" i="14"/>
  <c r="AD29" i="14"/>
  <c r="AB29" i="14" s="1"/>
  <c r="AC6" i="14"/>
  <c r="AD6" i="14"/>
  <c r="AE6" i="14"/>
  <c r="AB7" i="14"/>
  <c r="AB11" i="14"/>
  <c r="AB15" i="14"/>
  <c r="AB19" i="14"/>
  <c r="AB23" i="14"/>
  <c r="AB27" i="14"/>
  <c r="D35" i="14"/>
  <c r="J29" i="14"/>
  <c r="G6" i="14"/>
  <c r="F6" i="14"/>
  <c r="D26" i="14"/>
  <c r="F29" i="14"/>
  <c r="G31" i="13"/>
  <c r="AN6" i="14" l="1"/>
  <c r="D6" i="14"/>
  <c r="D29" i="14"/>
  <c r="P6" i="14"/>
  <c r="AB6" i="14"/>
  <c r="AN29" i="14"/>
  <c r="P29" i="14"/>
  <c r="J35" i="13"/>
  <c r="J8" i="13"/>
  <c r="X38" i="13"/>
  <c r="U38" i="13"/>
  <c r="U29" i="13" s="1"/>
  <c r="R35" i="13"/>
  <c r="R36" i="13"/>
  <c r="R37" i="13"/>
  <c r="AJ6" i="13"/>
  <c r="AI6" i="13"/>
  <c r="G38" i="13"/>
  <c r="I29" i="13"/>
  <c r="AT38" i="13"/>
  <c r="AQ38" i="13"/>
  <c r="AP38" i="13"/>
  <c r="AO38" i="13"/>
  <c r="AH38" i="13"/>
  <c r="AE38" i="13"/>
  <c r="AD38" i="13"/>
  <c r="AC38" i="13"/>
  <c r="J38" i="13"/>
  <c r="F38" i="13"/>
  <c r="E38" i="13"/>
  <c r="AT37" i="13"/>
  <c r="AQ37" i="13"/>
  <c r="AP37" i="13"/>
  <c r="AO37" i="13"/>
  <c r="AH37" i="13"/>
  <c r="AE37" i="13"/>
  <c r="AD37" i="13"/>
  <c r="AC37" i="13"/>
  <c r="J37" i="13"/>
  <c r="G37" i="13"/>
  <c r="F37" i="13"/>
  <c r="E37" i="13"/>
  <c r="AT36" i="13"/>
  <c r="AQ36" i="13"/>
  <c r="AP36" i="13"/>
  <c r="AO36" i="13"/>
  <c r="AH36" i="13"/>
  <c r="AE36" i="13"/>
  <c r="AD36" i="13"/>
  <c r="AC36" i="13"/>
  <c r="J36" i="13"/>
  <c r="G36" i="13"/>
  <c r="F36" i="13"/>
  <c r="E36" i="13"/>
  <c r="AT35" i="13"/>
  <c r="AQ35" i="13"/>
  <c r="AP35" i="13"/>
  <c r="AO35" i="13"/>
  <c r="AD35" i="13"/>
  <c r="AC35" i="13"/>
  <c r="G35" i="13"/>
  <c r="F35" i="13"/>
  <c r="E35" i="13"/>
  <c r="R34" i="13"/>
  <c r="AP34" i="13"/>
  <c r="AO34" i="13"/>
  <c r="AD34" i="13"/>
  <c r="AC34" i="13"/>
  <c r="J34" i="13"/>
  <c r="G34" i="13"/>
  <c r="F34" i="13"/>
  <c r="E34" i="13"/>
  <c r="R33" i="13"/>
  <c r="AP33" i="13"/>
  <c r="AO33" i="13"/>
  <c r="AD33" i="13"/>
  <c r="AC33" i="13"/>
  <c r="J33" i="13"/>
  <c r="G33" i="13"/>
  <c r="F33" i="13"/>
  <c r="E33" i="13"/>
  <c r="R32" i="13"/>
  <c r="AP32" i="13"/>
  <c r="AO32" i="13"/>
  <c r="AD32" i="13"/>
  <c r="AC32" i="13"/>
  <c r="J32" i="13"/>
  <c r="G32" i="13"/>
  <c r="F32" i="13"/>
  <c r="E32" i="13"/>
  <c r="R31" i="13"/>
  <c r="AP31" i="13"/>
  <c r="AO31" i="13"/>
  <c r="AD31" i="13"/>
  <c r="AC31" i="13"/>
  <c r="J31" i="13"/>
  <c r="F31" i="13"/>
  <c r="E31" i="13"/>
  <c r="R30" i="13"/>
  <c r="AP30" i="13"/>
  <c r="AO30" i="13"/>
  <c r="AD30" i="13"/>
  <c r="AC30" i="13"/>
  <c r="F30" i="13"/>
  <c r="E30" i="13"/>
  <c r="AV29" i="13"/>
  <c r="AU29" i="13"/>
  <c r="AS29" i="13"/>
  <c r="AR29" i="13"/>
  <c r="AJ29" i="13"/>
  <c r="AI29" i="13"/>
  <c r="AG29" i="13"/>
  <c r="AF29" i="13"/>
  <c r="L29" i="13"/>
  <c r="K29" i="13"/>
  <c r="H29" i="13"/>
  <c r="R28" i="13"/>
  <c r="AQ28" i="13"/>
  <c r="AP28" i="13"/>
  <c r="AO28" i="13"/>
  <c r="AH28" i="13"/>
  <c r="AE28" i="13"/>
  <c r="AD28" i="13"/>
  <c r="AC28" i="13"/>
  <c r="J28" i="13"/>
  <c r="G28" i="13"/>
  <c r="F28" i="13"/>
  <c r="E28" i="13"/>
  <c r="R27" i="13"/>
  <c r="AT27" i="13"/>
  <c r="AQ27" i="13"/>
  <c r="AP27" i="13"/>
  <c r="AO27" i="13"/>
  <c r="AH27" i="13"/>
  <c r="AE27" i="13"/>
  <c r="AD27" i="13"/>
  <c r="AC27" i="13"/>
  <c r="J27" i="13"/>
  <c r="G27" i="13"/>
  <c r="F27" i="13"/>
  <c r="E27" i="13"/>
  <c r="R26" i="13"/>
  <c r="AT26" i="13"/>
  <c r="AQ26" i="13"/>
  <c r="AP26" i="13"/>
  <c r="AO26" i="13"/>
  <c r="AH26" i="13"/>
  <c r="AE26" i="13"/>
  <c r="AD26" i="13"/>
  <c r="AC26" i="13"/>
  <c r="J26" i="13"/>
  <c r="G26" i="13"/>
  <c r="F26" i="13"/>
  <c r="E26" i="13"/>
  <c r="R25" i="13"/>
  <c r="AT25" i="13"/>
  <c r="AQ25" i="13"/>
  <c r="AP25" i="13"/>
  <c r="AO25" i="13"/>
  <c r="AH25" i="13"/>
  <c r="AE25" i="13"/>
  <c r="AD25" i="13"/>
  <c r="AC25" i="13"/>
  <c r="J25" i="13"/>
  <c r="G25" i="13"/>
  <c r="F25" i="13"/>
  <c r="E25" i="13"/>
  <c r="R24" i="13"/>
  <c r="AT24" i="13"/>
  <c r="AQ24" i="13"/>
  <c r="AP24" i="13"/>
  <c r="AO24" i="13"/>
  <c r="AH24" i="13"/>
  <c r="AE24" i="13"/>
  <c r="AD24" i="13"/>
  <c r="AC24" i="13"/>
  <c r="J24" i="13"/>
  <c r="G24" i="13"/>
  <c r="F24" i="13"/>
  <c r="E24" i="13"/>
  <c r="R23" i="13"/>
  <c r="AT23" i="13"/>
  <c r="AQ23" i="13"/>
  <c r="AP23" i="13"/>
  <c r="AO23" i="13"/>
  <c r="AH23" i="13"/>
  <c r="AE23" i="13"/>
  <c r="AD23" i="13"/>
  <c r="AC23" i="13"/>
  <c r="J23" i="13"/>
  <c r="G23" i="13"/>
  <c r="F23" i="13"/>
  <c r="E23" i="13"/>
  <c r="R22" i="13"/>
  <c r="AT22" i="13"/>
  <c r="AQ22" i="13"/>
  <c r="AP22" i="13"/>
  <c r="AO22" i="13"/>
  <c r="AH22" i="13"/>
  <c r="AE22" i="13"/>
  <c r="AD22" i="13"/>
  <c r="AC22" i="13"/>
  <c r="J22" i="13"/>
  <c r="G22" i="13"/>
  <c r="F22" i="13"/>
  <c r="E22" i="13"/>
  <c r="R21" i="13"/>
  <c r="AT21" i="13"/>
  <c r="AQ21" i="13"/>
  <c r="AP21" i="13"/>
  <c r="AO21" i="13"/>
  <c r="AH21" i="13"/>
  <c r="AE21" i="13"/>
  <c r="AD21" i="13"/>
  <c r="AC21" i="13"/>
  <c r="J21" i="13"/>
  <c r="G21" i="13"/>
  <c r="F21" i="13"/>
  <c r="E21" i="13"/>
  <c r="R20" i="13"/>
  <c r="AT20" i="13"/>
  <c r="AQ20" i="13"/>
  <c r="AP20" i="13"/>
  <c r="AO20" i="13"/>
  <c r="AH20" i="13"/>
  <c r="AE20" i="13"/>
  <c r="AD20" i="13"/>
  <c r="AC20" i="13"/>
  <c r="J20" i="13"/>
  <c r="G20" i="13"/>
  <c r="F20" i="13"/>
  <c r="E20" i="13"/>
  <c r="R19" i="13"/>
  <c r="AT19" i="13"/>
  <c r="AQ19" i="13"/>
  <c r="AP19" i="13"/>
  <c r="AO19" i="13"/>
  <c r="AH19" i="13"/>
  <c r="AE19" i="13"/>
  <c r="AD19" i="13"/>
  <c r="AC19" i="13"/>
  <c r="J19" i="13"/>
  <c r="G19" i="13"/>
  <c r="F19" i="13"/>
  <c r="E19" i="13"/>
  <c r="R18" i="13"/>
  <c r="AT18" i="13"/>
  <c r="AQ18" i="13"/>
  <c r="AP18" i="13"/>
  <c r="AO18" i="13"/>
  <c r="AH18" i="13"/>
  <c r="AE18" i="13"/>
  <c r="AD18" i="13"/>
  <c r="AC18" i="13"/>
  <c r="J18" i="13"/>
  <c r="G18" i="13"/>
  <c r="F18" i="13"/>
  <c r="E18" i="13"/>
  <c r="R17" i="13"/>
  <c r="AT17" i="13"/>
  <c r="AQ17" i="13"/>
  <c r="AP17" i="13"/>
  <c r="AO17" i="13"/>
  <c r="AH17" i="13"/>
  <c r="AE17" i="13"/>
  <c r="AD17" i="13"/>
  <c r="AC17" i="13"/>
  <c r="J17" i="13"/>
  <c r="G17" i="13"/>
  <c r="F17" i="13"/>
  <c r="E17" i="13"/>
  <c r="R16" i="13"/>
  <c r="AT16" i="13"/>
  <c r="AQ16" i="13"/>
  <c r="AP16" i="13"/>
  <c r="AO16" i="13"/>
  <c r="AH16" i="13"/>
  <c r="AE16" i="13"/>
  <c r="AD16" i="13"/>
  <c r="AC16" i="13"/>
  <c r="J16" i="13"/>
  <c r="G16" i="13"/>
  <c r="F16" i="13"/>
  <c r="E16" i="13"/>
  <c r="R15" i="13"/>
  <c r="AT15" i="13"/>
  <c r="AQ15" i="13"/>
  <c r="AP15" i="13"/>
  <c r="AO15" i="13"/>
  <c r="AH15" i="13"/>
  <c r="AE15" i="13"/>
  <c r="AD15" i="13"/>
  <c r="AC15" i="13"/>
  <c r="J15" i="13"/>
  <c r="G15" i="13"/>
  <c r="F15" i="13"/>
  <c r="E15" i="13"/>
  <c r="R14" i="13"/>
  <c r="AT14" i="13"/>
  <c r="AQ14" i="13"/>
  <c r="AP14" i="13"/>
  <c r="AO14" i="13"/>
  <c r="AH14" i="13"/>
  <c r="AE14" i="13"/>
  <c r="AD14" i="13"/>
  <c r="AC14" i="13"/>
  <c r="J14" i="13"/>
  <c r="G14" i="13"/>
  <c r="F14" i="13"/>
  <c r="E14" i="13"/>
  <c r="R13" i="13"/>
  <c r="AT13" i="13"/>
  <c r="AQ13" i="13"/>
  <c r="AP13" i="13"/>
  <c r="AO13" i="13"/>
  <c r="AH13" i="13"/>
  <c r="AE13" i="13"/>
  <c r="AD13" i="13"/>
  <c r="AC13" i="13"/>
  <c r="J13" i="13"/>
  <c r="G13" i="13"/>
  <c r="F13" i="13"/>
  <c r="E13" i="13"/>
  <c r="R12" i="13"/>
  <c r="AT12" i="13"/>
  <c r="AQ12" i="13"/>
  <c r="AP12" i="13"/>
  <c r="AO12" i="13"/>
  <c r="AH12" i="13"/>
  <c r="AE12" i="13"/>
  <c r="AD12" i="13"/>
  <c r="AC12" i="13"/>
  <c r="J12" i="13"/>
  <c r="G12" i="13"/>
  <c r="F12" i="13"/>
  <c r="E12" i="13"/>
  <c r="R11" i="13"/>
  <c r="AT11" i="13"/>
  <c r="AQ11" i="13"/>
  <c r="AP11" i="13"/>
  <c r="AO11" i="13"/>
  <c r="AH11" i="13"/>
  <c r="AE11" i="13"/>
  <c r="AD11" i="13"/>
  <c r="AC11" i="13"/>
  <c r="J11" i="13"/>
  <c r="G11" i="13"/>
  <c r="F11" i="13"/>
  <c r="E11" i="13"/>
  <c r="R10" i="13"/>
  <c r="AT10" i="13"/>
  <c r="AQ10" i="13"/>
  <c r="AP10" i="13"/>
  <c r="AO10" i="13"/>
  <c r="AH10" i="13"/>
  <c r="AE10" i="13"/>
  <c r="AD10" i="13"/>
  <c r="AC10" i="13"/>
  <c r="J10" i="13"/>
  <c r="G10" i="13"/>
  <c r="F10" i="13"/>
  <c r="E10" i="13"/>
  <c r="R9" i="13"/>
  <c r="AT9" i="13"/>
  <c r="AQ9" i="13"/>
  <c r="AP9" i="13"/>
  <c r="AO9" i="13"/>
  <c r="AH9" i="13"/>
  <c r="AE9" i="13"/>
  <c r="AD9" i="13"/>
  <c r="AC9" i="13"/>
  <c r="J9" i="13"/>
  <c r="G9" i="13"/>
  <c r="F9" i="13"/>
  <c r="E9" i="13"/>
  <c r="R8" i="13"/>
  <c r="AT8" i="13"/>
  <c r="AQ8" i="13"/>
  <c r="AP8" i="13"/>
  <c r="AO8" i="13"/>
  <c r="AH8" i="13"/>
  <c r="AE8" i="13"/>
  <c r="AD8" i="13"/>
  <c r="AC8" i="13"/>
  <c r="G8" i="13"/>
  <c r="F8" i="13"/>
  <c r="E8" i="13"/>
  <c r="R7" i="13"/>
  <c r="AT7" i="13"/>
  <c r="AQ7" i="13"/>
  <c r="AP7" i="13"/>
  <c r="AO7" i="13"/>
  <c r="AH7" i="13"/>
  <c r="AE7" i="13"/>
  <c r="AD7" i="13"/>
  <c r="AC7" i="13"/>
  <c r="J7" i="13"/>
  <c r="G7" i="13"/>
  <c r="F7" i="13"/>
  <c r="E7" i="13"/>
  <c r="X6" i="13"/>
  <c r="U6" i="13"/>
  <c r="AV6" i="13"/>
  <c r="AU6" i="13"/>
  <c r="AS6" i="13"/>
  <c r="AR6" i="13"/>
  <c r="AG6" i="13"/>
  <c r="AF6" i="13"/>
  <c r="L6" i="13"/>
  <c r="K6" i="13"/>
  <c r="I6" i="13"/>
  <c r="H6" i="13"/>
  <c r="P3" i="13"/>
  <c r="AN3" i="13"/>
  <c r="AT28" i="12"/>
  <c r="J29" i="13" l="1"/>
  <c r="P28" i="13"/>
  <c r="D35" i="13"/>
  <c r="P9" i="13"/>
  <c r="P13" i="13"/>
  <c r="P17" i="13"/>
  <c r="P21" i="13"/>
  <c r="P25" i="13"/>
  <c r="P36" i="13"/>
  <c r="D8" i="13"/>
  <c r="P35" i="13"/>
  <c r="J6" i="13"/>
  <c r="P8" i="13"/>
  <c r="P12" i="13"/>
  <c r="P16" i="13"/>
  <c r="P20" i="13"/>
  <c r="P24" i="13"/>
  <c r="P37" i="13"/>
  <c r="S6" i="13"/>
  <c r="P7" i="13"/>
  <c r="S29" i="13"/>
  <c r="D34" i="13"/>
  <c r="P10" i="13"/>
  <c r="P14" i="13"/>
  <c r="P18" i="13"/>
  <c r="P22" i="13"/>
  <c r="P26" i="13"/>
  <c r="AB38" i="13"/>
  <c r="S38" i="13"/>
  <c r="P11" i="13"/>
  <c r="P15" i="13"/>
  <c r="P27" i="13"/>
  <c r="V6" i="13"/>
  <c r="P19" i="13"/>
  <c r="P23" i="13"/>
  <c r="X29" i="13"/>
  <c r="V29" i="13" s="1"/>
  <c r="V38" i="13"/>
  <c r="R38" i="13"/>
  <c r="R29" i="13" s="1"/>
  <c r="AN38" i="13"/>
  <c r="AN7" i="13"/>
  <c r="D33" i="13"/>
  <c r="AB7" i="13"/>
  <c r="D9" i="13"/>
  <c r="AB10" i="13"/>
  <c r="AB11" i="13"/>
  <c r="AB14" i="13"/>
  <c r="AB15" i="13"/>
  <c r="AB18" i="13"/>
  <c r="AB19" i="13"/>
  <c r="D21" i="13"/>
  <c r="AB22" i="13"/>
  <c r="D25" i="13"/>
  <c r="D26" i="13"/>
  <c r="D28" i="13"/>
  <c r="D38" i="13"/>
  <c r="AO29" i="13"/>
  <c r="AT29" i="13"/>
  <c r="AN37" i="13"/>
  <c r="AN36" i="13"/>
  <c r="AN35" i="13"/>
  <c r="AN27" i="13"/>
  <c r="AN11" i="13"/>
  <c r="AN23" i="13"/>
  <c r="AN19" i="13"/>
  <c r="AP6" i="13"/>
  <c r="AN15" i="13"/>
  <c r="AT6" i="13"/>
  <c r="AH29" i="13"/>
  <c r="AE29" i="13"/>
  <c r="AB36" i="13"/>
  <c r="AC6" i="13"/>
  <c r="AH6" i="13"/>
  <c r="AB27" i="13"/>
  <c r="AB26" i="13"/>
  <c r="D36" i="13"/>
  <c r="G29" i="13"/>
  <c r="D37" i="13"/>
  <c r="D32" i="13"/>
  <c r="E6" i="13"/>
  <c r="D17" i="13"/>
  <c r="G6" i="13"/>
  <c r="D13" i="13"/>
  <c r="AN18" i="13"/>
  <c r="AN8" i="13"/>
  <c r="AN22" i="13"/>
  <c r="AN14" i="13"/>
  <c r="AQ6" i="13"/>
  <c r="AN12" i="13"/>
  <c r="AN16" i="13"/>
  <c r="AN20" i="13"/>
  <c r="AN24" i="13"/>
  <c r="AN28" i="13"/>
  <c r="AN26" i="13"/>
  <c r="AN10" i="13"/>
  <c r="AO6" i="13"/>
  <c r="AN9" i="13"/>
  <c r="AN13" i="13"/>
  <c r="AN17" i="13"/>
  <c r="AN21" i="13"/>
  <c r="AN25" i="13"/>
  <c r="AQ29" i="13"/>
  <c r="AP29" i="13"/>
  <c r="AD29" i="13"/>
  <c r="AC29" i="13"/>
  <c r="AB37" i="13"/>
  <c r="AD6" i="13"/>
  <c r="AE6" i="13"/>
  <c r="AB8" i="13"/>
  <c r="AB12" i="13"/>
  <c r="AB16" i="13"/>
  <c r="AB20" i="13"/>
  <c r="AB24" i="13"/>
  <c r="AB28" i="13"/>
  <c r="AB23" i="13"/>
  <c r="AB9" i="13"/>
  <c r="AB13" i="13"/>
  <c r="AB17" i="13"/>
  <c r="AB21" i="13"/>
  <c r="AB25" i="13"/>
  <c r="D31" i="13"/>
  <c r="E29" i="13"/>
  <c r="D10" i="13"/>
  <c r="D14" i="13"/>
  <c r="D18" i="13"/>
  <c r="D24" i="13"/>
  <c r="D27" i="13"/>
  <c r="F6" i="13"/>
  <c r="D7" i="13"/>
  <c r="D11" i="13"/>
  <c r="D15" i="13"/>
  <c r="D19" i="13"/>
  <c r="D23" i="13"/>
  <c r="D22" i="13"/>
  <c r="D12" i="13"/>
  <c r="D16" i="13"/>
  <c r="D20" i="13"/>
  <c r="F29" i="13"/>
  <c r="D29" i="13" s="1"/>
  <c r="R6" i="13"/>
  <c r="AH28" i="12"/>
  <c r="J35" i="12"/>
  <c r="J8" i="12"/>
  <c r="R27" i="12"/>
  <c r="R28" i="12"/>
  <c r="R7" i="12"/>
  <c r="R8" i="12"/>
  <c r="R9" i="12"/>
  <c r="R10" i="12"/>
  <c r="R11" i="12"/>
  <c r="R12" i="12"/>
  <c r="X29" i="12"/>
  <c r="U29" i="12"/>
  <c r="R30" i="12"/>
  <c r="U6" i="12"/>
  <c r="AJ6" i="12"/>
  <c r="AI6" i="12"/>
  <c r="AE8" i="12"/>
  <c r="AE9" i="12"/>
  <c r="AE10" i="12"/>
  <c r="AE11" i="12"/>
  <c r="AF6" i="12"/>
  <c r="AG6" i="12"/>
  <c r="AT9" i="12"/>
  <c r="AQ9" i="12"/>
  <c r="AP9" i="12"/>
  <c r="AO9" i="12"/>
  <c r="AH9" i="12"/>
  <c r="AD9" i="12"/>
  <c r="AC9" i="12"/>
  <c r="J9" i="12"/>
  <c r="G9" i="12"/>
  <c r="F9" i="12"/>
  <c r="E9" i="12"/>
  <c r="AT38" i="12"/>
  <c r="AO38" i="12"/>
  <c r="AH38" i="12"/>
  <c r="AE38" i="12"/>
  <c r="AC38" i="12"/>
  <c r="E38" i="12"/>
  <c r="G38" i="12"/>
  <c r="F38" i="12"/>
  <c r="R37" i="12"/>
  <c r="AT37" i="12"/>
  <c r="AQ37" i="12"/>
  <c r="AP37" i="12"/>
  <c r="AO37" i="12"/>
  <c r="AH37" i="12"/>
  <c r="AE37" i="12"/>
  <c r="AD37" i="12"/>
  <c r="AC37" i="12"/>
  <c r="J37" i="12"/>
  <c r="G37" i="12"/>
  <c r="F37" i="12"/>
  <c r="E37" i="12"/>
  <c r="R36" i="12"/>
  <c r="AT36" i="12"/>
  <c r="AQ36" i="12"/>
  <c r="AP36" i="12"/>
  <c r="AO36" i="12"/>
  <c r="AH36" i="12"/>
  <c r="AE36" i="12"/>
  <c r="AD36" i="12"/>
  <c r="AC36" i="12"/>
  <c r="J36" i="12"/>
  <c r="G36" i="12"/>
  <c r="F36" i="12"/>
  <c r="E36" i="12"/>
  <c r="R35" i="12"/>
  <c r="AT35" i="12"/>
  <c r="AQ35" i="12"/>
  <c r="AP35" i="12"/>
  <c r="AO35" i="12"/>
  <c r="AD35" i="12"/>
  <c r="AC35" i="12"/>
  <c r="G35" i="12"/>
  <c r="F35" i="12"/>
  <c r="E35" i="12"/>
  <c r="R34" i="12"/>
  <c r="AP34" i="12"/>
  <c r="AO34" i="12"/>
  <c r="AD34" i="12"/>
  <c r="AC34" i="12"/>
  <c r="J34" i="12"/>
  <c r="G34" i="12"/>
  <c r="F34" i="12"/>
  <c r="E34" i="12"/>
  <c r="R33" i="12"/>
  <c r="AP33" i="12"/>
  <c r="AO33" i="12"/>
  <c r="AD33" i="12"/>
  <c r="AC33" i="12"/>
  <c r="J33" i="12"/>
  <c r="G33" i="12"/>
  <c r="F33" i="12"/>
  <c r="E33" i="12"/>
  <c r="R32" i="12"/>
  <c r="AP32" i="12"/>
  <c r="AO32" i="12"/>
  <c r="AD32" i="12"/>
  <c r="AC32" i="12"/>
  <c r="J32" i="12"/>
  <c r="G32" i="12"/>
  <c r="F32" i="12"/>
  <c r="E32" i="12"/>
  <c r="R31" i="12"/>
  <c r="AP31" i="12"/>
  <c r="AO31" i="12"/>
  <c r="AD31" i="12"/>
  <c r="AC31" i="12"/>
  <c r="J31" i="12"/>
  <c r="F31" i="12"/>
  <c r="E31" i="12"/>
  <c r="AP30" i="12"/>
  <c r="AO30" i="12"/>
  <c r="AD30" i="12"/>
  <c r="AC30" i="12"/>
  <c r="F30" i="12"/>
  <c r="E30" i="12"/>
  <c r="AV29" i="12"/>
  <c r="AU29" i="12"/>
  <c r="AS29" i="12"/>
  <c r="AR29" i="12"/>
  <c r="AJ29" i="12"/>
  <c r="AI29" i="12"/>
  <c r="AG29" i="12"/>
  <c r="AF29" i="12"/>
  <c r="L29" i="12"/>
  <c r="K29" i="12"/>
  <c r="I29" i="12"/>
  <c r="H29" i="12"/>
  <c r="AQ28" i="12"/>
  <c r="AP28" i="12"/>
  <c r="AO28" i="12"/>
  <c r="AE28" i="12"/>
  <c r="AD28" i="12"/>
  <c r="AC28" i="12"/>
  <c r="J28" i="12"/>
  <c r="G28" i="12"/>
  <c r="F28" i="12"/>
  <c r="E28" i="12"/>
  <c r="AT27" i="12"/>
  <c r="AQ27" i="12"/>
  <c r="AP27" i="12"/>
  <c r="AO27" i="12"/>
  <c r="AH27" i="12"/>
  <c r="AE27" i="12"/>
  <c r="AD27" i="12"/>
  <c r="AC27" i="12"/>
  <c r="J27" i="12"/>
  <c r="G27" i="12"/>
  <c r="F27" i="12"/>
  <c r="E27" i="12"/>
  <c r="R26" i="12"/>
  <c r="AT26" i="12"/>
  <c r="AQ26" i="12"/>
  <c r="AP26" i="12"/>
  <c r="AO26" i="12"/>
  <c r="AH26" i="12"/>
  <c r="AE26" i="12"/>
  <c r="AD26" i="12"/>
  <c r="AC26" i="12"/>
  <c r="J26" i="12"/>
  <c r="G26" i="12"/>
  <c r="F26" i="12"/>
  <c r="E26" i="12"/>
  <c r="R25" i="12"/>
  <c r="AT25" i="12"/>
  <c r="AQ25" i="12"/>
  <c r="AP25" i="12"/>
  <c r="AO25" i="12"/>
  <c r="AH25" i="12"/>
  <c r="AE25" i="12"/>
  <c r="AD25" i="12"/>
  <c r="AC25" i="12"/>
  <c r="J25" i="12"/>
  <c r="G25" i="12"/>
  <c r="F25" i="12"/>
  <c r="E25" i="12"/>
  <c r="R24" i="12"/>
  <c r="AT24" i="12"/>
  <c r="AQ24" i="12"/>
  <c r="AP24" i="12"/>
  <c r="AO24" i="12"/>
  <c r="AH24" i="12"/>
  <c r="AE24" i="12"/>
  <c r="AD24" i="12"/>
  <c r="AC24" i="12"/>
  <c r="J24" i="12"/>
  <c r="G24" i="12"/>
  <c r="F24" i="12"/>
  <c r="E24" i="12"/>
  <c r="R23" i="12"/>
  <c r="AT23" i="12"/>
  <c r="AQ23" i="12"/>
  <c r="AP23" i="12"/>
  <c r="AO23" i="12"/>
  <c r="AH23" i="12"/>
  <c r="AE23" i="12"/>
  <c r="AD23" i="12"/>
  <c r="AC23" i="12"/>
  <c r="J23" i="12"/>
  <c r="G23" i="12"/>
  <c r="F23" i="12"/>
  <c r="E23" i="12"/>
  <c r="R22" i="12"/>
  <c r="AT22" i="12"/>
  <c r="AQ22" i="12"/>
  <c r="AP22" i="12"/>
  <c r="AO22" i="12"/>
  <c r="AH22" i="12"/>
  <c r="AE22" i="12"/>
  <c r="AD22" i="12"/>
  <c r="AC22" i="12"/>
  <c r="J22" i="12"/>
  <c r="G22" i="12"/>
  <c r="F22" i="12"/>
  <c r="E22" i="12"/>
  <c r="R21" i="12"/>
  <c r="AT21" i="12"/>
  <c r="AQ21" i="12"/>
  <c r="AP21" i="12"/>
  <c r="AO21" i="12"/>
  <c r="AH21" i="12"/>
  <c r="AE21" i="12"/>
  <c r="AD21" i="12"/>
  <c r="AC21" i="12"/>
  <c r="J21" i="12"/>
  <c r="G21" i="12"/>
  <c r="F21" i="12"/>
  <c r="E21" i="12"/>
  <c r="R20" i="12"/>
  <c r="AT20" i="12"/>
  <c r="AQ20" i="12"/>
  <c r="AP20" i="12"/>
  <c r="AO20" i="12"/>
  <c r="AH20" i="12"/>
  <c r="AE20" i="12"/>
  <c r="AD20" i="12"/>
  <c r="AC20" i="12"/>
  <c r="J20" i="12"/>
  <c r="G20" i="12"/>
  <c r="F20" i="12"/>
  <c r="E20" i="12"/>
  <c r="R19" i="12"/>
  <c r="AT19" i="12"/>
  <c r="AQ19" i="12"/>
  <c r="AP19" i="12"/>
  <c r="AO19" i="12"/>
  <c r="AH19" i="12"/>
  <c r="AE19" i="12"/>
  <c r="AD19" i="12"/>
  <c r="AC19" i="12"/>
  <c r="J19" i="12"/>
  <c r="G19" i="12"/>
  <c r="F19" i="12"/>
  <c r="E19" i="12"/>
  <c r="R18" i="12"/>
  <c r="AT18" i="12"/>
  <c r="AQ18" i="12"/>
  <c r="AP18" i="12"/>
  <c r="AO18" i="12"/>
  <c r="AH18" i="12"/>
  <c r="AE18" i="12"/>
  <c r="AD18" i="12"/>
  <c r="AC18" i="12"/>
  <c r="J18" i="12"/>
  <c r="G18" i="12"/>
  <c r="F18" i="12"/>
  <c r="E18" i="12"/>
  <c r="R17" i="12"/>
  <c r="AT17" i="12"/>
  <c r="AQ17" i="12"/>
  <c r="AP17" i="12"/>
  <c r="AO17" i="12"/>
  <c r="AH17" i="12"/>
  <c r="AE17" i="12"/>
  <c r="AD17" i="12"/>
  <c r="AC17" i="12"/>
  <c r="J17" i="12"/>
  <c r="G17" i="12"/>
  <c r="F17" i="12"/>
  <c r="E17" i="12"/>
  <c r="R16" i="12"/>
  <c r="AT16" i="12"/>
  <c r="AQ16" i="12"/>
  <c r="AP16" i="12"/>
  <c r="AO16" i="12"/>
  <c r="AH16" i="12"/>
  <c r="AE16" i="12"/>
  <c r="AD16" i="12"/>
  <c r="AC16" i="12"/>
  <c r="J16" i="12"/>
  <c r="G16" i="12"/>
  <c r="F16" i="12"/>
  <c r="E16" i="12"/>
  <c r="R15" i="12"/>
  <c r="AT15" i="12"/>
  <c r="AQ15" i="12"/>
  <c r="AP15" i="12"/>
  <c r="AO15" i="12"/>
  <c r="AH15" i="12"/>
  <c r="AE15" i="12"/>
  <c r="AD15" i="12"/>
  <c r="AC15" i="12"/>
  <c r="J15" i="12"/>
  <c r="G15" i="12"/>
  <c r="F15" i="12"/>
  <c r="E15" i="12"/>
  <c r="R14" i="12"/>
  <c r="AT14" i="12"/>
  <c r="AQ14" i="12"/>
  <c r="AP14" i="12"/>
  <c r="AO14" i="12"/>
  <c r="AH14" i="12"/>
  <c r="AE14" i="12"/>
  <c r="AD14" i="12"/>
  <c r="AC14" i="12"/>
  <c r="J14" i="12"/>
  <c r="G14" i="12"/>
  <c r="F14" i="12"/>
  <c r="E14" i="12"/>
  <c r="R13" i="12"/>
  <c r="AT13" i="12"/>
  <c r="AQ13" i="12"/>
  <c r="AP13" i="12"/>
  <c r="AO13" i="12"/>
  <c r="AH13" i="12"/>
  <c r="AE13" i="12"/>
  <c r="AD13" i="12"/>
  <c r="AC13" i="12"/>
  <c r="J13" i="12"/>
  <c r="G13" i="12"/>
  <c r="F13" i="12"/>
  <c r="E13" i="12"/>
  <c r="AT12" i="12"/>
  <c r="AQ12" i="12"/>
  <c r="AP12" i="12"/>
  <c r="AO12" i="12"/>
  <c r="AH12" i="12"/>
  <c r="AE12" i="12"/>
  <c r="AD12" i="12"/>
  <c r="AC12" i="12"/>
  <c r="J12" i="12"/>
  <c r="G12" i="12"/>
  <c r="F12" i="12"/>
  <c r="E12" i="12"/>
  <c r="AT11" i="12"/>
  <c r="AQ11" i="12"/>
  <c r="AP11" i="12"/>
  <c r="AO11" i="12"/>
  <c r="AH11" i="12"/>
  <c r="AD11" i="12"/>
  <c r="AC11" i="12"/>
  <c r="J11" i="12"/>
  <c r="G11" i="12"/>
  <c r="F11" i="12"/>
  <c r="E11" i="12"/>
  <c r="AT10" i="12"/>
  <c r="AQ10" i="12"/>
  <c r="AP10" i="12"/>
  <c r="AO10" i="12"/>
  <c r="AH10" i="12"/>
  <c r="AD10" i="12"/>
  <c r="AC10" i="12"/>
  <c r="J10" i="12"/>
  <c r="G10" i="12"/>
  <c r="F10" i="12"/>
  <c r="E10" i="12"/>
  <c r="AT8" i="12"/>
  <c r="AQ8" i="12"/>
  <c r="AP8" i="12"/>
  <c r="AO8" i="12"/>
  <c r="AH8" i="12"/>
  <c r="AD8" i="12"/>
  <c r="AC8" i="12"/>
  <c r="G8" i="12"/>
  <c r="F8" i="12"/>
  <c r="E8" i="12"/>
  <c r="AT7" i="12"/>
  <c r="AQ7" i="12"/>
  <c r="AP7" i="12"/>
  <c r="AO7" i="12"/>
  <c r="AH7" i="12"/>
  <c r="AE7" i="12"/>
  <c r="AD7" i="12"/>
  <c r="AC7" i="12"/>
  <c r="J7" i="12"/>
  <c r="G7" i="12"/>
  <c r="F7" i="12"/>
  <c r="E7" i="12"/>
  <c r="X6" i="12"/>
  <c r="AV6" i="12"/>
  <c r="AU6" i="12"/>
  <c r="AS6" i="12"/>
  <c r="AR6" i="12"/>
  <c r="L6" i="12"/>
  <c r="K6" i="12"/>
  <c r="I6" i="12"/>
  <c r="H6" i="12"/>
  <c r="P3" i="12"/>
  <c r="AN3" i="12"/>
  <c r="AB3" i="12"/>
  <c r="X38" i="3"/>
  <c r="U38" i="3"/>
  <c r="U6" i="3"/>
  <c r="AV38" i="3"/>
  <c r="AU38" i="3"/>
  <c r="AU29" i="3" s="1"/>
  <c r="AS38" i="3"/>
  <c r="AR38" i="3"/>
  <c r="AJ38" i="3"/>
  <c r="AJ29" i="3" s="1"/>
  <c r="AI38" i="3"/>
  <c r="AI29" i="3" s="1"/>
  <c r="AG38" i="3"/>
  <c r="AG29" i="3" s="1"/>
  <c r="AF38" i="3"/>
  <c r="AF29" i="3" s="1"/>
  <c r="L38" i="3"/>
  <c r="K38" i="3"/>
  <c r="I38" i="3"/>
  <c r="H38" i="3"/>
  <c r="H29" i="3" s="1"/>
  <c r="AJ6" i="3"/>
  <c r="AG6" i="3"/>
  <c r="AI6" i="3"/>
  <c r="AF6" i="3"/>
  <c r="X29" i="11"/>
  <c r="X6" i="11"/>
  <c r="U29" i="11"/>
  <c r="U6" i="11"/>
  <c r="AV29" i="11"/>
  <c r="AU29" i="11"/>
  <c r="AS29" i="11"/>
  <c r="AR29" i="11"/>
  <c r="AQ29" i="11" s="1"/>
  <c r="AJ29" i="11"/>
  <c r="AI29" i="11"/>
  <c r="AJ6" i="11"/>
  <c r="AI6" i="11"/>
  <c r="AG6" i="11"/>
  <c r="AF6" i="11"/>
  <c r="R38" i="11"/>
  <c r="AT38" i="11"/>
  <c r="AQ38" i="11"/>
  <c r="AP38" i="11"/>
  <c r="AO38" i="11"/>
  <c r="AH38" i="11"/>
  <c r="AE38" i="11"/>
  <c r="AD38" i="11"/>
  <c r="AC38" i="11"/>
  <c r="J38" i="11"/>
  <c r="G38" i="11"/>
  <c r="F38" i="11"/>
  <c r="E38" i="11"/>
  <c r="R37" i="11"/>
  <c r="AT37" i="11"/>
  <c r="AQ37" i="11"/>
  <c r="AP37" i="11"/>
  <c r="AO37" i="11"/>
  <c r="AH37" i="11"/>
  <c r="AE37" i="11"/>
  <c r="AD37" i="11"/>
  <c r="AC37" i="11"/>
  <c r="J37" i="11"/>
  <c r="G37" i="11"/>
  <c r="F37" i="11"/>
  <c r="E37" i="11"/>
  <c r="R36" i="11"/>
  <c r="AT36" i="11"/>
  <c r="AQ36" i="11"/>
  <c r="AP36" i="11"/>
  <c r="AO36" i="11"/>
  <c r="AH36" i="11"/>
  <c r="AE36" i="11"/>
  <c r="AD36" i="11"/>
  <c r="AC36" i="11"/>
  <c r="J36" i="11"/>
  <c r="G36" i="11"/>
  <c r="F36" i="11"/>
  <c r="E36" i="11"/>
  <c r="R35" i="11"/>
  <c r="AT35" i="11"/>
  <c r="AQ35" i="11"/>
  <c r="AP35" i="11"/>
  <c r="AO35" i="11"/>
  <c r="AD35" i="11"/>
  <c r="AC35" i="11"/>
  <c r="J35" i="11"/>
  <c r="G35" i="11"/>
  <c r="F35" i="11"/>
  <c r="E35" i="11"/>
  <c r="R34" i="11"/>
  <c r="AP34" i="11"/>
  <c r="AO34" i="11"/>
  <c r="AD34" i="11"/>
  <c r="AC34" i="11"/>
  <c r="J34" i="11"/>
  <c r="G34" i="11"/>
  <c r="F34" i="11"/>
  <c r="E34" i="11"/>
  <c r="R33" i="11"/>
  <c r="AP33" i="11"/>
  <c r="AO33" i="11"/>
  <c r="AD33" i="11"/>
  <c r="AC33" i="11"/>
  <c r="J33" i="11"/>
  <c r="G33" i="11"/>
  <c r="F33" i="11"/>
  <c r="E33" i="11"/>
  <c r="D33" i="11" s="1"/>
  <c r="R32" i="11"/>
  <c r="AP32" i="11"/>
  <c r="AO32" i="11"/>
  <c r="AD32" i="11"/>
  <c r="AC32" i="11"/>
  <c r="J32" i="11"/>
  <c r="G32" i="11"/>
  <c r="F32" i="11"/>
  <c r="E32" i="11"/>
  <c r="R31" i="11"/>
  <c r="AP31" i="11"/>
  <c r="AO31" i="11"/>
  <c r="AD31" i="11"/>
  <c r="AC31" i="11"/>
  <c r="J31" i="11"/>
  <c r="G31" i="11"/>
  <c r="F31" i="11"/>
  <c r="E31" i="11"/>
  <c r="R30" i="11"/>
  <c r="AP30" i="11"/>
  <c r="AO30" i="11"/>
  <c r="AD30" i="11"/>
  <c r="AC30" i="11"/>
  <c r="F30" i="11"/>
  <c r="E30" i="11"/>
  <c r="AG29" i="11"/>
  <c r="AF29" i="11"/>
  <c r="L29" i="11"/>
  <c r="K29" i="11"/>
  <c r="I29" i="11"/>
  <c r="H29" i="11"/>
  <c r="R28" i="11"/>
  <c r="AT28" i="11"/>
  <c r="AP28" i="11"/>
  <c r="AO28" i="11"/>
  <c r="AE28" i="11"/>
  <c r="AD28" i="11"/>
  <c r="AC28" i="11"/>
  <c r="J28" i="11"/>
  <c r="G28" i="11"/>
  <c r="F28" i="11"/>
  <c r="E28" i="11"/>
  <c r="R27" i="11"/>
  <c r="AQ27" i="11"/>
  <c r="AP27" i="11"/>
  <c r="AO27" i="11"/>
  <c r="AE27" i="11"/>
  <c r="AD27" i="11"/>
  <c r="AC27" i="11"/>
  <c r="J27" i="11"/>
  <c r="G27" i="11"/>
  <c r="F27" i="11"/>
  <c r="E27" i="11"/>
  <c r="R26" i="11"/>
  <c r="AT26" i="11"/>
  <c r="AQ26" i="11"/>
  <c r="AP26" i="11"/>
  <c r="AO26" i="11"/>
  <c r="AH26" i="11"/>
  <c r="AE26" i="11"/>
  <c r="AD26" i="11"/>
  <c r="AC26" i="11"/>
  <c r="J26" i="11"/>
  <c r="G26" i="11"/>
  <c r="F26" i="11"/>
  <c r="E26" i="11"/>
  <c r="R25" i="11"/>
  <c r="AT25" i="11"/>
  <c r="AQ25" i="11"/>
  <c r="AP25" i="11"/>
  <c r="AO25" i="11"/>
  <c r="AH25" i="11"/>
  <c r="AE25" i="11"/>
  <c r="AD25" i="11"/>
  <c r="AC25" i="11"/>
  <c r="J25" i="11"/>
  <c r="G25" i="11"/>
  <c r="F25" i="11"/>
  <c r="E25" i="11"/>
  <c r="R24" i="11"/>
  <c r="AT24" i="11"/>
  <c r="AQ24" i="11"/>
  <c r="AP24" i="11"/>
  <c r="AO24" i="11"/>
  <c r="AH24" i="11"/>
  <c r="AE24" i="11"/>
  <c r="AD24" i="11"/>
  <c r="AC24" i="11"/>
  <c r="J24" i="11"/>
  <c r="G24" i="11"/>
  <c r="F24" i="11"/>
  <c r="E24" i="11"/>
  <c r="R23" i="11"/>
  <c r="AT23" i="11"/>
  <c r="AQ23" i="11"/>
  <c r="AP23" i="11"/>
  <c r="AO23" i="11"/>
  <c r="AH23" i="11"/>
  <c r="AE23" i="11"/>
  <c r="AD23" i="11"/>
  <c r="AC23" i="11"/>
  <c r="J23" i="11"/>
  <c r="G23" i="11"/>
  <c r="F23" i="11"/>
  <c r="E23" i="11"/>
  <c r="R22" i="11"/>
  <c r="AT22" i="11"/>
  <c r="AQ22" i="11"/>
  <c r="AP22" i="11"/>
  <c r="AO22" i="11"/>
  <c r="AH22" i="11"/>
  <c r="AE22" i="11"/>
  <c r="AD22" i="11"/>
  <c r="AC22" i="11"/>
  <c r="J22" i="11"/>
  <c r="G22" i="11"/>
  <c r="F22" i="11"/>
  <c r="E22" i="11"/>
  <c r="R21" i="11"/>
  <c r="AT21" i="11"/>
  <c r="AQ21" i="11"/>
  <c r="AP21" i="11"/>
  <c r="AO21" i="11"/>
  <c r="AH21" i="11"/>
  <c r="AE21" i="11"/>
  <c r="AD21" i="11"/>
  <c r="AC21" i="11"/>
  <c r="J21" i="11"/>
  <c r="G21" i="11"/>
  <c r="F21" i="11"/>
  <c r="E21" i="11"/>
  <c r="R20" i="11"/>
  <c r="AT20" i="11"/>
  <c r="AQ20" i="11"/>
  <c r="AP20" i="11"/>
  <c r="AO20" i="11"/>
  <c r="AH20" i="11"/>
  <c r="AE20" i="11"/>
  <c r="AD20" i="11"/>
  <c r="AC20" i="11"/>
  <c r="J20" i="11"/>
  <c r="G20" i="11"/>
  <c r="F20" i="11"/>
  <c r="E20" i="11"/>
  <c r="R19" i="11"/>
  <c r="AT19" i="11"/>
  <c r="AQ19" i="11"/>
  <c r="AP19" i="11"/>
  <c r="AO19" i="11"/>
  <c r="AH19" i="11"/>
  <c r="AE19" i="11"/>
  <c r="AD19" i="11"/>
  <c r="AC19" i="11"/>
  <c r="J19" i="11"/>
  <c r="G19" i="11"/>
  <c r="F19" i="11"/>
  <c r="E19" i="11"/>
  <c r="R18" i="11"/>
  <c r="AT18" i="11"/>
  <c r="AQ18" i="11"/>
  <c r="AP18" i="11"/>
  <c r="AO18" i="11"/>
  <c r="AH18" i="11"/>
  <c r="AE18" i="11"/>
  <c r="AD18" i="11"/>
  <c r="AC18" i="11"/>
  <c r="J18" i="11"/>
  <c r="G18" i="11"/>
  <c r="F18" i="11"/>
  <c r="E18" i="11"/>
  <c r="R17" i="11"/>
  <c r="AT17" i="11"/>
  <c r="AQ17" i="11"/>
  <c r="AP17" i="11"/>
  <c r="AO17" i="11"/>
  <c r="AH17" i="11"/>
  <c r="AE17" i="11"/>
  <c r="AD17" i="11"/>
  <c r="AC17" i="11"/>
  <c r="J17" i="11"/>
  <c r="G17" i="11"/>
  <c r="F17" i="11"/>
  <c r="E17" i="11"/>
  <c r="R16" i="11"/>
  <c r="AT16" i="11"/>
  <c r="AQ16" i="11"/>
  <c r="AP16" i="11"/>
  <c r="AO16" i="11"/>
  <c r="AH16" i="11"/>
  <c r="AE16" i="11"/>
  <c r="AD16" i="11"/>
  <c r="AC16" i="11"/>
  <c r="J16" i="11"/>
  <c r="G16" i="11"/>
  <c r="F16" i="11"/>
  <c r="E16" i="11"/>
  <c r="R15" i="11"/>
  <c r="AT15" i="11"/>
  <c r="AQ15" i="11"/>
  <c r="AP15" i="11"/>
  <c r="AO15" i="11"/>
  <c r="AH15" i="11"/>
  <c r="AE15" i="11"/>
  <c r="AD15" i="11"/>
  <c r="AC15" i="11"/>
  <c r="J15" i="11"/>
  <c r="G15" i="11"/>
  <c r="F15" i="11"/>
  <c r="E15" i="11"/>
  <c r="R14" i="11"/>
  <c r="AT14" i="11"/>
  <c r="AQ14" i="11"/>
  <c r="AP14" i="11"/>
  <c r="AO14" i="11"/>
  <c r="AH14" i="11"/>
  <c r="AE14" i="11"/>
  <c r="AD14" i="11"/>
  <c r="AC14" i="11"/>
  <c r="J14" i="11"/>
  <c r="G14" i="11"/>
  <c r="F14" i="11"/>
  <c r="E14" i="11"/>
  <c r="R13" i="11"/>
  <c r="AT13" i="11"/>
  <c r="AQ13" i="11"/>
  <c r="AP13" i="11"/>
  <c r="AO13" i="11"/>
  <c r="AH13" i="11"/>
  <c r="AE13" i="11"/>
  <c r="AD13" i="11"/>
  <c r="AC13" i="11"/>
  <c r="J13" i="11"/>
  <c r="G13" i="11"/>
  <c r="F13" i="11"/>
  <c r="E13" i="11"/>
  <c r="R12" i="11"/>
  <c r="AT12" i="11"/>
  <c r="AQ12" i="11"/>
  <c r="AP12" i="11"/>
  <c r="AO12" i="11"/>
  <c r="AH12" i="11"/>
  <c r="AE12" i="11"/>
  <c r="AD12" i="11"/>
  <c r="AC12" i="11"/>
  <c r="J12" i="11"/>
  <c r="G12" i="11"/>
  <c r="F12" i="11"/>
  <c r="E12" i="11"/>
  <c r="R11" i="11"/>
  <c r="AT11" i="11"/>
  <c r="AQ11" i="11"/>
  <c r="AP11" i="11"/>
  <c r="AO11" i="11"/>
  <c r="AH11" i="11"/>
  <c r="AE11" i="11"/>
  <c r="AD11" i="11"/>
  <c r="AC11" i="11"/>
  <c r="J11" i="11"/>
  <c r="G11" i="11"/>
  <c r="F11" i="11"/>
  <c r="E11" i="11"/>
  <c r="R10" i="11"/>
  <c r="AT10" i="11"/>
  <c r="AQ10" i="11"/>
  <c r="AP10" i="11"/>
  <c r="AO10" i="11"/>
  <c r="AH10" i="11"/>
  <c r="AE10" i="11"/>
  <c r="AD10" i="11"/>
  <c r="AC10" i="11"/>
  <c r="J10" i="11"/>
  <c r="G10" i="11"/>
  <c r="F10" i="11"/>
  <c r="E10" i="11"/>
  <c r="R9" i="11"/>
  <c r="AT9" i="11"/>
  <c r="AQ9" i="11"/>
  <c r="AP9" i="11"/>
  <c r="AO9" i="11"/>
  <c r="AH9" i="11"/>
  <c r="AE9" i="11"/>
  <c r="AD9" i="11"/>
  <c r="AC9" i="11"/>
  <c r="J9" i="11"/>
  <c r="G9" i="11"/>
  <c r="F9" i="11"/>
  <c r="E9" i="11"/>
  <c r="R8" i="11"/>
  <c r="AT8" i="11"/>
  <c r="AQ8" i="11"/>
  <c r="AP8" i="11"/>
  <c r="AO8" i="11"/>
  <c r="AH8" i="11"/>
  <c r="AE8" i="11"/>
  <c r="AD8" i="11"/>
  <c r="AC8" i="11"/>
  <c r="J8" i="11"/>
  <c r="G8" i="11"/>
  <c r="F8" i="11"/>
  <c r="E8" i="11"/>
  <c r="R7" i="11"/>
  <c r="AT7" i="11"/>
  <c r="AQ7" i="11"/>
  <c r="AP7" i="11"/>
  <c r="AO7" i="11"/>
  <c r="AH7" i="11"/>
  <c r="AE7" i="11"/>
  <c r="AD7" i="11"/>
  <c r="AC7" i="11"/>
  <c r="J7" i="11"/>
  <c r="G7" i="11"/>
  <c r="F7" i="11"/>
  <c r="E7" i="11"/>
  <c r="AV6" i="11"/>
  <c r="AU6" i="11"/>
  <c r="AS6" i="11"/>
  <c r="AR6" i="11"/>
  <c r="L6" i="11"/>
  <c r="K6" i="11"/>
  <c r="I6" i="11"/>
  <c r="H6" i="11"/>
  <c r="P3" i="11"/>
  <c r="AN3" i="11"/>
  <c r="AB3" i="11"/>
  <c r="AJ6" i="10"/>
  <c r="AI6" i="10"/>
  <c r="AG6" i="10"/>
  <c r="AF6" i="10"/>
  <c r="X6" i="10"/>
  <c r="U6" i="10"/>
  <c r="R38" i="10"/>
  <c r="AT38" i="10"/>
  <c r="AQ38" i="10"/>
  <c r="AP38" i="10"/>
  <c r="AO38" i="10"/>
  <c r="AH38" i="10"/>
  <c r="AE38" i="10"/>
  <c r="AD38" i="10"/>
  <c r="AC38" i="10"/>
  <c r="J38" i="10"/>
  <c r="G38" i="10"/>
  <c r="F38" i="10"/>
  <c r="E38" i="10"/>
  <c r="R37" i="10"/>
  <c r="AT37" i="10"/>
  <c r="AQ37" i="10"/>
  <c r="AP37" i="10"/>
  <c r="AO37" i="10"/>
  <c r="AH37" i="10"/>
  <c r="AE37" i="10"/>
  <c r="AD37" i="10"/>
  <c r="AC37" i="10"/>
  <c r="J37" i="10"/>
  <c r="G37" i="10"/>
  <c r="F37" i="10"/>
  <c r="E37" i="10"/>
  <c r="R36" i="10"/>
  <c r="AT36" i="10"/>
  <c r="AQ36" i="10"/>
  <c r="AP36" i="10"/>
  <c r="AO36" i="10"/>
  <c r="AH36" i="10"/>
  <c r="AE36" i="10"/>
  <c r="AD36" i="10"/>
  <c r="AC36" i="10"/>
  <c r="J36" i="10"/>
  <c r="G36" i="10"/>
  <c r="F36" i="10"/>
  <c r="E36" i="10"/>
  <c r="R35" i="10"/>
  <c r="AT35" i="10"/>
  <c r="AQ35" i="10"/>
  <c r="AP35" i="10"/>
  <c r="AO35" i="10"/>
  <c r="AD35" i="10"/>
  <c r="AC35" i="10"/>
  <c r="J35" i="10"/>
  <c r="G35" i="10"/>
  <c r="F35" i="10"/>
  <c r="E35" i="10"/>
  <c r="R34" i="10"/>
  <c r="AP34" i="10"/>
  <c r="AO34" i="10"/>
  <c r="AD34" i="10"/>
  <c r="AC34" i="10"/>
  <c r="J34" i="10"/>
  <c r="G34" i="10"/>
  <c r="F34" i="10"/>
  <c r="E34" i="10"/>
  <c r="R33" i="10"/>
  <c r="AP33" i="10"/>
  <c r="AO33" i="10"/>
  <c r="AD33" i="10"/>
  <c r="AC33" i="10"/>
  <c r="J33" i="10"/>
  <c r="G33" i="10"/>
  <c r="F33" i="10"/>
  <c r="E33" i="10"/>
  <c r="R32" i="10"/>
  <c r="AP32" i="10"/>
  <c r="AO32" i="10"/>
  <c r="AD32" i="10"/>
  <c r="AC32" i="10"/>
  <c r="J32" i="10"/>
  <c r="G32" i="10"/>
  <c r="F32" i="10"/>
  <c r="E32" i="10"/>
  <c r="R31" i="10"/>
  <c r="AP31" i="10"/>
  <c r="AO31" i="10"/>
  <c r="AD31" i="10"/>
  <c r="AC31" i="10"/>
  <c r="J31" i="10"/>
  <c r="G31" i="10"/>
  <c r="F31" i="10"/>
  <c r="E31" i="10"/>
  <c r="R30" i="10"/>
  <c r="AP30" i="10"/>
  <c r="AO30" i="10"/>
  <c r="AD30" i="10"/>
  <c r="AC30" i="10"/>
  <c r="F30" i="10"/>
  <c r="E30" i="10"/>
  <c r="X29" i="10"/>
  <c r="S29" i="10"/>
  <c r="AV29" i="10"/>
  <c r="AU29" i="10"/>
  <c r="AS29" i="10"/>
  <c r="AR29" i="10"/>
  <c r="AJ29" i="10"/>
  <c r="AI29" i="10"/>
  <c r="AG29" i="10"/>
  <c r="AF29" i="10"/>
  <c r="L29" i="10"/>
  <c r="K29" i="10"/>
  <c r="J29" i="10" s="1"/>
  <c r="I29" i="10"/>
  <c r="H29" i="10"/>
  <c r="R28" i="10"/>
  <c r="AQ28" i="10"/>
  <c r="AP28" i="10"/>
  <c r="AO28" i="10"/>
  <c r="AH28" i="10"/>
  <c r="AD28" i="10"/>
  <c r="AC28" i="10"/>
  <c r="J28" i="10"/>
  <c r="G28" i="10"/>
  <c r="F28" i="10"/>
  <c r="E28" i="10"/>
  <c r="R27" i="10"/>
  <c r="AT27" i="10"/>
  <c r="AQ27" i="10"/>
  <c r="AP27" i="10"/>
  <c r="AO27" i="10"/>
  <c r="AH27" i="10"/>
  <c r="AE27" i="10"/>
  <c r="AD27" i="10"/>
  <c r="AC27" i="10"/>
  <c r="J27" i="10"/>
  <c r="G27" i="10"/>
  <c r="F27" i="10"/>
  <c r="E27" i="10"/>
  <c r="R26" i="10"/>
  <c r="AT26" i="10"/>
  <c r="AQ26" i="10"/>
  <c r="AP26" i="10"/>
  <c r="AO26" i="10"/>
  <c r="AH26" i="10"/>
  <c r="AE26" i="10"/>
  <c r="AD26" i="10"/>
  <c r="AC26" i="10"/>
  <c r="J26" i="10"/>
  <c r="G26" i="10"/>
  <c r="F26" i="10"/>
  <c r="E26" i="10"/>
  <c r="R25" i="10"/>
  <c r="AT25" i="10"/>
  <c r="AQ25" i="10"/>
  <c r="AP25" i="10"/>
  <c r="AN25" i="10" s="1"/>
  <c r="AO25" i="10"/>
  <c r="AH25" i="10"/>
  <c r="AE25" i="10"/>
  <c r="AD25" i="10"/>
  <c r="AC25" i="10"/>
  <c r="J25" i="10"/>
  <c r="G25" i="10"/>
  <c r="F25" i="10"/>
  <c r="E25" i="10"/>
  <c r="R24" i="10"/>
  <c r="AT24" i="10"/>
  <c r="AQ24" i="10"/>
  <c r="AP24" i="10"/>
  <c r="AO24" i="10"/>
  <c r="AH24" i="10"/>
  <c r="AE24" i="10"/>
  <c r="AD24" i="10"/>
  <c r="AC24" i="10"/>
  <c r="J24" i="10"/>
  <c r="G24" i="10"/>
  <c r="F24" i="10"/>
  <c r="E24" i="10"/>
  <c r="R23" i="10"/>
  <c r="AT23" i="10"/>
  <c r="AQ23" i="10"/>
  <c r="AP23" i="10"/>
  <c r="AO23" i="10"/>
  <c r="AH23" i="10"/>
  <c r="AE23" i="10"/>
  <c r="AD23" i="10"/>
  <c r="AC23" i="10"/>
  <c r="J23" i="10"/>
  <c r="G23" i="10"/>
  <c r="F23" i="10"/>
  <c r="E23" i="10"/>
  <c r="R22" i="10"/>
  <c r="AT22" i="10"/>
  <c r="AQ22" i="10"/>
  <c r="AP22" i="10"/>
  <c r="AO22" i="10"/>
  <c r="AH22" i="10"/>
  <c r="AE22" i="10"/>
  <c r="AD22" i="10"/>
  <c r="AC22" i="10"/>
  <c r="J22" i="10"/>
  <c r="G22" i="10"/>
  <c r="F22" i="10"/>
  <c r="E22" i="10"/>
  <c r="R21" i="10"/>
  <c r="AT21" i="10"/>
  <c r="AQ21" i="10"/>
  <c r="AP21" i="10"/>
  <c r="AO21" i="10"/>
  <c r="AH21" i="10"/>
  <c r="AE21" i="10"/>
  <c r="AD21" i="10"/>
  <c r="AC21" i="10"/>
  <c r="J21" i="10"/>
  <c r="G21" i="10"/>
  <c r="F21" i="10"/>
  <c r="E21" i="10"/>
  <c r="R20" i="10"/>
  <c r="AT20" i="10"/>
  <c r="AQ20" i="10"/>
  <c r="AP20" i="10"/>
  <c r="AN20" i="10" s="1"/>
  <c r="AO20" i="10"/>
  <c r="AH20" i="10"/>
  <c r="AE20" i="10"/>
  <c r="AD20" i="10"/>
  <c r="AC20" i="10"/>
  <c r="J20" i="10"/>
  <c r="G20" i="10"/>
  <c r="F20" i="10"/>
  <c r="E20" i="10"/>
  <c r="R19" i="10"/>
  <c r="AT19" i="10"/>
  <c r="AQ19" i="10"/>
  <c r="AP19" i="10"/>
  <c r="AO19" i="10"/>
  <c r="AH19" i="10"/>
  <c r="AE19" i="10"/>
  <c r="AD19" i="10"/>
  <c r="AC19" i="10"/>
  <c r="J19" i="10"/>
  <c r="G19" i="10"/>
  <c r="F19" i="10"/>
  <c r="E19" i="10"/>
  <c r="R18" i="10"/>
  <c r="AT18" i="10"/>
  <c r="AQ18" i="10"/>
  <c r="AP18" i="10"/>
  <c r="AO18" i="10"/>
  <c r="AH18" i="10"/>
  <c r="AE18" i="10"/>
  <c r="AD18" i="10"/>
  <c r="AC18" i="10"/>
  <c r="J18" i="10"/>
  <c r="G18" i="10"/>
  <c r="F18" i="10"/>
  <c r="E18" i="10"/>
  <c r="R17" i="10"/>
  <c r="AT17" i="10"/>
  <c r="AQ17" i="10"/>
  <c r="AP17" i="10"/>
  <c r="AO17" i="10"/>
  <c r="AH17" i="10"/>
  <c r="AE17" i="10"/>
  <c r="AD17" i="10"/>
  <c r="AC17" i="10"/>
  <c r="J17" i="10"/>
  <c r="G17" i="10"/>
  <c r="F17" i="10"/>
  <c r="E17" i="10"/>
  <c r="R16" i="10"/>
  <c r="AT16" i="10"/>
  <c r="AQ16" i="10"/>
  <c r="AP16" i="10"/>
  <c r="AO16" i="10"/>
  <c r="AH16" i="10"/>
  <c r="AE16" i="10"/>
  <c r="AD16" i="10"/>
  <c r="AC16" i="10"/>
  <c r="J16" i="10"/>
  <c r="G16" i="10"/>
  <c r="F16" i="10"/>
  <c r="E16" i="10"/>
  <c r="R15" i="10"/>
  <c r="AT15" i="10"/>
  <c r="AQ15" i="10"/>
  <c r="AP15" i="10"/>
  <c r="AO15" i="10"/>
  <c r="AH15" i="10"/>
  <c r="AE15" i="10"/>
  <c r="AD15" i="10"/>
  <c r="AC15" i="10"/>
  <c r="J15" i="10"/>
  <c r="G15" i="10"/>
  <c r="F15" i="10"/>
  <c r="E15" i="10"/>
  <c r="R14" i="10"/>
  <c r="AT14" i="10"/>
  <c r="AQ14" i="10"/>
  <c r="AP14" i="10"/>
  <c r="AO14" i="10"/>
  <c r="AH14" i="10"/>
  <c r="AE14" i="10"/>
  <c r="AD14" i="10"/>
  <c r="AC14" i="10"/>
  <c r="J14" i="10"/>
  <c r="G14" i="10"/>
  <c r="F14" i="10"/>
  <c r="E14" i="10"/>
  <c r="R13" i="10"/>
  <c r="AT13" i="10"/>
  <c r="AQ13" i="10"/>
  <c r="AP13" i="10"/>
  <c r="AO13" i="10"/>
  <c r="AH13" i="10"/>
  <c r="AE13" i="10"/>
  <c r="AD13" i="10"/>
  <c r="AC13" i="10"/>
  <c r="J13" i="10"/>
  <c r="G13" i="10"/>
  <c r="F13" i="10"/>
  <c r="E13" i="10"/>
  <c r="R12" i="10"/>
  <c r="AT12" i="10"/>
  <c r="AQ12" i="10"/>
  <c r="AP12" i="10"/>
  <c r="AO12" i="10"/>
  <c r="AH12" i="10"/>
  <c r="AE12" i="10"/>
  <c r="AD12" i="10"/>
  <c r="AC12" i="10"/>
  <c r="J12" i="10"/>
  <c r="G12" i="10"/>
  <c r="F12" i="10"/>
  <c r="E12" i="10"/>
  <c r="R11" i="10"/>
  <c r="AT11" i="10"/>
  <c r="AQ11" i="10"/>
  <c r="AP11" i="10"/>
  <c r="AO11" i="10"/>
  <c r="AH11" i="10"/>
  <c r="AE11" i="10"/>
  <c r="AD11" i="10"/>
  <c r="AC11" i="10"/>
  <c r="J11" i="10"/>
  <c r="G11" i="10"/>
  <c r="F11" i="10"/>
  <c r="E11" i="10"/>
  <c r="R10" i="10"/>
  <c r="AT10" i="10"/>
  <c r="AQ10" i="10"/>
  <c r="AP10" i="10"/>
  <c r="AO10" i="10"/>
  <c r="AH10" i="10"/>
  <c r="AE10" i="10"/>
  <c r="AD10" i="10"/>
  <c r="AC10" i="10"/>
  <c r="J10" i="10"/>
  <c r="G10" i="10"/>
  <c r="F10" i="10"/>
  <c r="E10" i="10"/>
  <c r="R9" i="10"/>
  <c r="AT9" i="10"/>
  <c r="AQ9" i="10"/>
  <c r="AP9" i="10"/>
  <c r="AO9" i="10"/>
  <c r="AH9" i="10"/>
  <c r="AE9" i="10"/>
  <c r="AD9" i="10"/>
  <c r="AC9" i="10"/>
  <c r="J9" i="10"/>
  <c r="G9" i="10"/>
  <c r="F9" i="10"/>
  <c r="E9" i="10"/>
  <c r="R8" i="10"/>
  <c r="AT8" i="10"/>
  <c r="AQ8" i="10"/>
  <c r="AP8" i="10"/>
  <c r="AO8" i="10"/>
  <c r="AH8" i="10"/>
  <c r="AE8" i="10"/>
  <c r="AD8" i="10"/>
  <c r="AC8" i="10"/>
  <c r="J8" i="10"/>
  <c r="G8" i="10"/>
  <c r="F8" i="10"/>
  <c r="E8" i="10"/>
  <c r="R7" i="10"/>
  <c r="AT7" i="10"/>
  <c r="AQ7" i="10"/>
  <c r="AP7" i="10"/>
  <c r="AO7" i="10"/>
  <c r="AH7" i="10"/>
  <c r="AE7" i="10"/>
  <c r="AD7" i="10"/>
  <c r="AC7" i="10"/>
  <c r="J7" i="10"/>
  <c r="G7" i="10"/>
  <c r="F7" i="10"/>
  <c r="E7" i="10"/>
  <c r="AV6" i="10"/>
  <c r="AU6" i="10"/>
  <c r="AS6" i="10"/>
  <c r="AR6" i="10"/>
  <c r="L6" i="10"/>
  <c r="K6" i="10"/>
  <c r="I6" i="10"/>
  <c r="H6" i="10"/>
  <c r="P3" i="10"/>
  <c r="AN3" i="10"/>
  <c r="AB3" i="10"/>
  <c r="AJ6" i="8"/>
  <c r="AI6" i="8"/>
  <c r="AG6" i="8"/>
  <c r="AF6" i="8"/>
  <c r="AC6" i="8" s="1"/>
  <c r="X6" i="3"/>
  <c r="X6" i="8"/>
  <c r="U6" i="8"/>
  <c r="R38" i="8"/>
  <c r="AT38" i="8"/>
  <c r="AQ38" i="8"/>
  <c r="AP38" i="8"/>
  <c r="AO38" i="8"/>
  <c r="AH38" i="8"/>
  <c r="AE38" i="8"/>
  <c r="AD38" i="8"/>
  <c r="AC38" i="8"/>
  <c r="J38" i="8"/>
  <c r="G38" i="8"/>
  <c r="F38" i="8"/>
  <c r="E38" i="8"/>
  <c r="R37" i="8"/>
  <c r="AT37" i="8"/>
  <c r="AQ37" i="8"/>
  <c r="AP37" i="8"/>
  <c r="AO37" i="8"/>
  <c r="AH37" i="8"/>
  <c r="AE37" i="8"/>
  <c r="AD37" i="8"/>
  <c r="AC37" i="8"/>
  <c r="J37" i="8"/>
  <c r="G37" i="8"/>
  <c r="F37" i="8"/>
  <c r="E37" i="8"/>
  <c r="R36" i="8"/>
  <c r="AT36" i="8"/>
  <c r="AQ36" i="8"/>
  <c r="AP36" i="8"/>
  <c r="AO36" i="8"/>
  <c r="AH36" i="8"/>
  <c r="AE36" i="8"/>
  <c r="AD36" i="8"/>
  <c r="AC36" i="8"/>
  <c r="J36" i="8"/>
  <c r="G36" i="8"/>
  <c r="F36" i="8"/>
  <c r="E36" i="8"/>
  <c r="R35" i="8"/>
  <c r="AT35" i="8"/>
  <c r="AQ35" i="8"/>
  <c r="AP35" i="8"/>
  <c r="AO35" i="8"/>
  <c r="AD35" i="8"/>
  <c r="AC35" i="8"/>
  <c r="J35" i="8"/>
  <c r="G35" i="8"/>
  <c r="F35" i="8"/>
  <c r="E35" i="8"/>
  <c r="R34" i="8"/>
  <c r="AP34" i="8"/>
  <c r="AO34" i="8"/>
  <c r="AD34" i="8"/>
  <c r="AC34" i="8"/>
  <c r="J34" i="8"/>
  <c r="G34" i="8"/>
  <c r="F34" i="8"/>
  <c r="E34" i="8"/>
  <c r="R33" i="8"/>
  <c r="AP33" i="8"/>
  <c r="AO33" i="8"/>
  <c r="AD33" i="8"/>
  <c r="AC33" i="8"/>
  <c r="J33" i="8"/>
  <c r="G33" i="8"/>
  <c r="F33" i="8"/>
  <c r="E33" i="8"/>
  <c r="R32" i="8"/>
  <c r="AP32" i="8"/>
  <c r="AO32" i="8"/>
  <c r="AD32" i="8"/>
  <c r="AC32" i="8"/>
  <c r="J32" i="8"/>
  <c r="G32" i="8"/>
  <c r="F32" i="8"/>
  <c r="E32" i="8"/>
  <c r="R31" i="8"/>
  <c r="AP31" i="8"/>
  <c r="AO31" i="8"/>
  <c r="AD31" i="8"/>
  <c r="AC31" i="8"/>
  <c r="J31" i="8"/>
  <c r="G31" i="8"/>
  <c r="F31" i="8"/>
  <c r="E31" i="8"/>
  <c r="R30" i="8"/>
  <c r="AP30" i="8"/>
  <c r="AO30" i="8"/>
  <c r="AD30" i="8"/>
  <c r="AC30" i="8"/>
  <c r="F30" i="8"/>
  <c r="E30" i="8"/>
  <c r="X29" i="8"/>
  <c r="U29" i="8"/>
  <c r="AV29" i="8"/>
  <c r="AU29" i="8"/>
  <c r="AS29" i="8"/>
  <c r="AR29" i="8"/>
  <c r="AJ29" i="8"/>
  <c r="AI29" i="8"/>
  <c r="AG29" i="8"/>
  <c r="AF29" i="8"/>
  <c r="L29" i="8"/>
  <c r="K29" i="8"/>
  <c r="I29" i="8"/>
  <c r="H29" i="8"/>
  <c r="R28" i="8"/>
  <c r="AQ28" i="8"/>
  <c r="AP28" i="8"/>
  <c r="AO28" i="8"/>
  <c r="AH28" i="8"/>
  <c r="AE28" i="8"/>
  <c r="AD28" i="8"/>
  <c r="AC28" i="8"/>
  <c r="J28" i="8"/>
  <c r="G28" i="8"/>
  <c r="F28" i="8"/>
  <c r="E28" i="8"/>
  <c r="R27" i="8"/>
  <c r="AT27" i="8"/>
  <c r="AQ27" i="8"/>
  <c r="AP27" i="8"/>
  <c r="AO27" i="8"/>
  <c r="AH27" i="8"/>
  <c r="AE27" i="8"/>
  <c r="AD27" i="8"/>
  <c r="AC27" i="8"/>
  <c r="J27" i="8"/>
  <c r="G27" i="8"/>
  <c r="F27" i="8"/>
  <c r="E27" i="8"/>
  <c r="R26" i="8"/>
  <c r="AT26" i="8"/>
  <c r="AQ26" i="8"/>
  <c r="AP26" i="8"/>
  <c r="AO26" i="8"/>
  <c r="AH26" i="8"/>
  <c r="AE26" i="8"/>
  <c r="AD26" i="8"/>
  <c r="AC26" i="8"/>
  <c r="J26" i="8"/>
  <c r="G26" i="8"/>
  <c r="F26" i="8"/>
  <c r="E26" i="8"/>
  <c r="R25" i="8"/>
  <c r="AT25" i="8"/>
  <c r="AQ25" i="8"/>
  <c r="AP25" i="8"/>
  <c r="AO25" i="8"/>
  <c r="AH25" i="8"/>
  <c r="AE25" i="8"/>
  <c r="AD25" i="8"/>
  <c r="AC25" i="8"/>
  <c r="J25" i="8"/>
  <c r="G25" i="8"/>
  <c r="F25" i="8"/>
  <c r="E25" i="8"/>
  <c r="R24" i="8"/>
  <c r="AT24" i="8"/>
  <c r="AQ24" i="8"/>
  <c r="AP24" i="8"/>
  <c r="AO24" i="8"/>
  <c r="AH24" i="8"/>
  <c r="AE24" i="8"/>
  <c r="AD24" i="8"/>
  <c r="AC24" i="8"/>
  <c r="J24" i="8"/>
  <c r="G24" i="8"/>
  <c r="F24" i="8"/>
  <c r="E24" i="8"/>
  <c r="R23" i="8"/>
  <c r="AT23" i="8"/>
  <c r="AQ23" i="8"/>
  <c r="AP23" i="8"/>
  <c r="AO23" i="8"/>
  <c r="AH23" i="8"/>
  <c r="AE23" i="8"/>
  <c r="AD23" i="8"/>
  <c r="AC23" i="8"/>
  <c r="J23" i="8"/>
  <c r="G23" i="8"/>
  <c r="F23" i="8"/>
  <c r="E23" i="8"/>
  <c r="R22" i="8"/>
  <c r="AT22" i="8"/>
  <c r="AQ22" i="8"/>
  <c r="AP22" i="8"/>
  <c r="AO22" i="8"/>
  <c r="AH22" i="8"/>
  <c r="AE22" i="8"/>
  <c r="AD22" i="8"/>
  <c r="AC22" i="8"/>
  <c r="J22" i="8"/>
  <c r="G22" i="8"/>
  <c r="F22" i="8"/>
  <c r="E22" i="8"/>
  <c r="R21" i="8"/>
  <c r="AT21" i="8"/>
  <c r="AQ21" i="8"/>
  <c r="AP21" i="8"/>
  <c r="AO21" i="8"/>
  <c r="AH21" i="8"/>
  <c r="AE21" i="8"/>
  <c r="AD21" i="8"/>
  <c r="AC21" i="8"/>
  <c r="J21" i="8"/>
  <c r="G21" i="8"/>
  <c r="F21" i="8"/>
  <c r="E21" i="8"/>
  <c r="R20" i="8"/>
  <c r="AT20" i="8"/>
  <c r="AQ20" i="8"/>
  <c r="AP20" i="8"/>
  <c r="AO20" i="8"/>
  <c r="AH20" i="8"/>
  <c r="AE20" i="8"/>
  <c r="AD20" i="8"/>
  <c r="AC20" i="8"/>
  <c r="J20" i="8"/>
  <c r="G20" i="8"/>
  <c r="F20" i="8"/>
  <c r="E20" i="8"/>
  <c r="R19" i="8"/>
  <c r="AT19" i="8"/>
  <c r="AQ19" i="8"/>
  <c r="AP19" i="8"/>
  <c r="AO19" i="8"/>
  <c r="AH19" i="8"/>
  <c r="AE19" i="8"/>
  <c r="AD19" i="8"/>
  <c r="AC19" i="8"/>
  <c r="J19" i="8"/>
  <c r="G19" i="8"/>
  <c r="F19" i="8"/>
  <c r="E19" i="8"/>
  <c r="R18" i="8"/>
  <c r="AT18" i="8"/>
  <c r="AQ18" i="8"/>
  <c r="AP18" i="8"/>
  <c r="AO18" i="8"/>
  <c r="AH18" i="8"/>
  <c r="AE18" i="8"/>
  <c r="AD18" i="8"/>
  <c r="AC18" i="8"/>
  <c r="J18" i="8"/>
  <c r="G18" i="8"/>
  <c r="F18" i="8"/>
  <c r="E18" i="8"/>
  <c r="R17" i="8"/>
  <c r="AT17" i="8"/>
  <c r="AQ17" i="8"/>
  <c r="AP17" i="8"/>
  <c r="AO17" i="8"/>
  <c r="AH17" i="8"/>
  <c r="AE17" i="8"/>
  <c r="AD17" i="8"/>
  <c r="AC17" i="8"/>
  <c r="J17" i="8"/>
  <c r="G17" i="8"/>
  <c r="F17" i="8"/>
  <c r="E17" i="8"/>
  <c r="R16" i="8"/>
  <c r="AT16" i="8"/>
  <c r="AQ16" i="8"/>
  <c r="AP16" i="8"/>
  <c r="AO16" i="8"/>
  <c r="AH16" i="8"/>
  <c r="AE16" i="8"/>
  <c r="AD16" i="8"/>
  <c r="AC16" i="8"/>
  <c r="J16" i="8"/>
  <c r="G16" i="8"/>
  <c r="F16" i="8"/>
  <c r="E16" i="8"/>
  <c r="R15" i="8"/>
  <c r="AT15" i="8"/>
  <c r="AQ15" i="8"/>
  <c r="AP15" i="8"/>
  <c r="AO15" i="8"/>
  <c r="AH15" i="8"/>
  <c r="AE15" i="8"/>
  <c r="AD15" i="8"/>
  <c r="AC15" i="8"/>
  <c r="J15" i="8"/>
  <c r="G15" i="8"/>
  <c r="F15" i="8"/>
  <c r="E15" i="8"/>
  <c r="R14" i="8"/>
  <c r="AT14" i="8"/>
  <c r="AQ14" i="8"/>
  <c r="AP14" i="8"/>
  <c r="AO14" i="8"/>
  <c r="AH14" i="8"/>
  <c r="AE14" i="8"/>
  <c r="AD14" i="8"/>
  <c r="AC14" i="8"/>
  <c r="J14" i="8"/>
  <c r="G14" i="8"/>
  <c r="F14" i="8"/>
  <c r="E14" i="8"/>
  <c r="R13" i="8"/>
  <c r="AT13" i="8"/>
  <c r="AQ13" i="8"/>
  <c r="AP13" i="8"/>
  <c r="AO13" i="8"/>
  <c r="AH13" i="8"/>
  <c r="AE13" i="8"/>
  <c r="AD13" i="8"/>
  <c r="AC13" i="8"/>
  <c r="J13" i="8"/>
  <c r="G13" i="8"/>
  <c r="F13" i="8"/>
  <c r="E13" i="8"/>
  <c r="R12" i="8"/>
  <c r="AT12" i="8"/>
  <c r="AQ12" i="8"/>
  <c r="AP12" i="8"/>
  <c r="AO12" i="8"/>
  <c r="AH12" i="8"/>
  <c r="AE12" i="8"/>
  <c r="AD12" i="8"/>
  <c r="AC12" i="8"/>
  <c r="J12" i="8"/>
  <c r="G12" i="8"/>
  <c r="F12" i="8"/>
  <c r="E12" i="8"/>
  <c r="R11" i="8"/>
  <c r="AT11" i="8"/>
  <c r="AQ11" i="8"/>
  <c r="AP11" i="8"/>
  <c r="AO11" i="8"/>
  <c r="AH11" i="8"/>
  <c r="AE11" i="8"/>
  <c r="AD11" i="8"/>
  <c r="AC11" i="8"/>
  <c r="J11" i="8"/>
  <c r="G11" i="8"/>
  <c r="F11" i="8"/>
  <c r="E11" i="8"/>
  <c r="R10" i="8"/>
  <c r="AT10" i="8"/>
  <c r="AQ10" i="8"/>
  <c r="AP10" i="8"/>
  <c r="AO10" i="8"/>
  <c r="AH10" i="8"/>
  <c r="AE10" i="8"/>
  <c r="AD10" i="8"/>
  <c r="AC10" i="8"/>
  <c r="J10" i="8"/>
  <c r="G10" i="8"/>
  <c r="F10" i="8"/>
  <c r="E10" i="8"/>
  <c r="R9" i="8"/>
  <c r="AT9" i="8"/>
  <c r="AQ9" i="8"/>
  <c r="AP9" i="8"/>
  <c r="AO9" i="8"/>
  <c r="AH9" i="8"/>
  <c r="AE9" i="8"/>
  <c r="AD9" i="8"/>
  <c r="AC9" i="8"/>
  <c r="J9" i="8"/>
  <c r="G9" i="8"/>
  <c r="F9" i="8"/>
  <c r="E9" i="8"/>
  <c r="R8" i="8"/>
  <c r="AT8" i="8"/>
  <c r="AQ8" i="8"/>
  <c r="AP8" i="8"/>
  <c r="AO8" i="8"/>
  <c r="AH8" i="8"/>
  <c r="AE8" i="8"/>
  <c r="AD8" i="8"/>
  <c r="AC8" i="8"/>
  <c r="J8" i="8"/>
  <c r="G8" i="8"/>
  <c r="F8" i="8"/>
  <c r="E8" i="8"/>
  <c r="R7" i="8"/>
  <c r="AT7" i="8"/>
  <c r="AQ7" i="8"/>
  <c r="AP7" i="8"/>
  <c r="AO7" i="8"/>
  <c r="AH7" i="8"/>
  <c r="AE7" i="8"/>
  <c r="AD7" i="8"/>
  <c r="AC7" i="8"/>
  <c r="J7" i="8"/>
  <c r="G7" i="8"/>
  <c r="F7" i="8"/>
  <c r="E7" i="8"/>
  <c r="AV6" i="8"/>
  <c r="AU6" i="8"/>
  <c r="AS6" i="8"/>
  <c r="AR6" i="8"/>
  <c r="L6" i="8"/>
  <c r="K6" i="8"/>
  <c r="I6" i="8"/>
  <c r="H6" i="8"/>
  <c r="P3" i="8"/>
  <c r="AN3" i="8"/>
  <c r="AB3" i="8"/>
  <c r="P3" i="3"/>
  <c r="AN3" i="3"/>
  <c r="AB3" i="3"/>
  <c r="R37" i="3"/>
  <c r="R36" i="3"/>
  <c r="R35" i="3"/>
  <c r="R34" i="3"/>
  <c r="R33" i="3"/>
  <c r="R32" i="3"/>
  <c r="R31" i="3"/>
  <c r="R30" i="3"/>
  <c r="X29" i="3"/>
  <c r="R28" i="3"/>
  <c r="R27" i="3"/>
  <c r="R26" i="3"/>
  <c r="R25" i="3"/>
  <c r="R24" i="3"/>
  <c r="R23" i="3"/>
  <c r="R22" i="3"/>
  <c r="R21" i="3"/>
  <c r="R20" i="3"/>
  <c r="R19" i="3"/>
  <c r="R18" i="3"/>
  <c r="R17" i="3"/>
  <c r="R16" i="3"/>
  <c r="R15" i="3"/>
  <c r="R14" i="3"/>
  <c r="R13" i="3"/>
  <c r="R12" i="3"/>
  <c r="R11" i="3"/>
  <c r="R10" i="3"/>
  <c r="R9" i="3"/>
  <c r="R8" i="3"/>
  <c r="R7" i="3"/>
  <c r="AT37" i="3"/>
  <c r="AQ37" i="3"/>
  <c r="AP37" i="3"/>
  <c r="AO37" i="3"/>
  <c r="AT36" i="3"/>
  <c r="AQ36" i="3"/>
  <c r="AP36" i="3"/>
  <c r="AO36" i="3"/>
  <c r="AT35" i="3"/>
  <c r="AQ35" i="3"/>
  <c r="AP35" i="3"/>
  <c r="AO35" i="3"/>
  <c r="AP34" i="3"/>
  <c r="AO34" i="3"/>
  <c r="AP33" i="3"/>
  <c r="AO33" i="3"/>
  <c r="AP32" i="3"/>
  <c r="AO32" i="3"/>
  <c r="AP31" i="3"/>
  <c r="AO31" i="3"/>
  <c r="AP30" i="3"/>
  <c r="AO30" i="3"/>
  <c r="AQ28" i="3"/>
  <c r="AP28" i="3"/>
  <c r="AO28" i="3"/>
  <c r="AT27" i="3"/>
  <c r="AQ27" i="3"/>
  <c r="AP27" i="3"/>
  <c r="AO27" i="3"/>
  <c r="AT26" i="3"/>
  <c r="AQ26" i="3"/>
  <c r="AP26" i="3"/>
  <c r="AO26" i="3"/>
  <c r="AT25" i="3"/>
  <c r="AQ25" i="3"/>
  <c r="AP25" i="3"/>
  <c r="AO25" i="3"/>
  <c r="AT24" i="3"/>
  <c r="AQ24" i="3"/>
  <c r="AP24" i="3"/>
  <c r="AO24" i="3"/>
  <c r="AT23" i="3"/>
  <c r="AQ23" i="3"/>
  <c r="AP23" i="3"/>
  <c r="AO23" i="3"/>
  <c r="AT22" i="3"/>
  <c r="AQ22" i="3"/>
  <c r="AP22" i="3"/>
  <c r="AO22" i="3"/>
  <c r="AT21" i="3"/>
  <c r="AQ21" i="3"/>
  <c r="AP21" i="3"/>
  <c r="AO21" i="3"/>
  <c r="AT20" i="3"/>
  <c r="AQ20" i="3"/>
  <c r="AP20" i="3"/>
  <c r="AO20" i="3"/>
  <c r="AT19" i="3"/>
  <c r="AQ19" i="3"/>
  <c r="AP19" i="3"/>
  <c r="AO19" i="3"/>
  <c r="AT18" i="3"/>
  <c r="AQ18" i="3"/>
  <c r="AP18" i="3"/>
  <c r="AO18" i="3"/>
  <c r="AT17" i="3"/>
  <c r="AQ17" i="3"/>
  <c r="AP17" i="3"/>
  <c r="AO17" i="3"/>
  <c r="AT16" i="3"/>
  <c r="AQ16" i="3"/>
  <c r="AP16" i="3"/>
  <c r="AO16" i="3"/>
  <c r="AT15" i="3"/>
  <c r="AQ15" i="3"/>
  <c r="AP15" i="3"/>
  <c r="AO15" i="3"/>
  <c r="AT14" i="3"/>
  <c r="AQ14" i="3"/>
  <c r="AP14" i="3"/>
  <c r="AO14" i="3"/>
  <c r="AT13" i="3"/>
  <c r="AQ13" i="3"/>
  <c r="AP13" i="3"/>
  <c r="AO13" i="3"/>
  <c r="AT12" i="3"/>
  <c r="AQ12" i="3"/>
  <c r="AP12" i="3"/>
  <c r="AO12" i="3"/>
  <c r="AT11" i="3"/>
  <c r="AQ11" i="3"/>
  <c r="AP11" i="3"/>
  <c r="AO11" i="3"/>
  <c r="AT10" i="3"/>
  <c r="AQ10" i="3"/>
  <c r="AP10" i="3"/>
  <c r="AO10" i="3"/>
  <c r="AT9" i="3"/>
  <c r="AQ9" i="3"/>
  <c r="AP9" i="3"/>
  <c r="AO9" i="3"/>
  <c r="AT8" i="3"/>
  <c r="AQ8" i="3"/>
  <c r="AP8" i="3"/>
  <c r="AO8" i="3"/>
  <c r="AT7" i="3"/>
  <c r="AQ7" i="3"/>
  <c r="AP7" i="3"/>
  <c r="AO7" i="3"/>
  <c r="AV6" i="3"/>
  <c r="AU6" i="3"/>
  <c r="AS6" i="3"/>
  <c r="AR6" i="3"/>
  <c r="AH37" i="3"/>
  <c r="AE37" i="3"/>
  <c r="AD37" i="3"/>
  <c r="AC37" i="3"/>
  <c r="AH36" i="3"/>
  <c r="AE36" i="3"/>
  <c r="AD36" i="3"/>
  <c r="AC36" i="3"/>
  <c r="AD35" i="3"/>
  <c r="AC35" i="3"/>
  <c r="AD34" i="3"/>
  <c r="AC34" i="3"/>
  <c r="AD33" i="3"/>
  <c r="AC33" i="3"/>
  <c r="AD32" i="3"/>
  <c r="AC32" i="3"/>
  <c r="AD31" i="3"/>
  <c r="AC31" i="3"/>
  <c r="AD30" i="3"/>
  <c r="AC30" i="3"/>
  <c r="AE28" i="3"/>
  <c r="AD28" i="3"/>
  <c r="AC28" i="3"/>
  <c r="AH27" i="3"/>
  <c r="AE27" i="3"/>
  <c r="AD27" i="3"/>
  <c r="AC27" i="3"/>
  <c r="AH26" i="3"/>
  <c r="AE26" i="3"/>
  <c r="AD26" i="3"/>
  <c r="AC26" i="3"/>
  <c r="AH25" i="3"/>
  <c r="AE25" i="3"/>
  <c r="AD25" i="3"/>
  <c r="AC25" i="3"/>
  <c r="AH24" i="3"/>
  <c r="AE24" i="3"/>
  <c r="AD24" i="3"/>
  <c r="AC24" i="3"/>
  <c r="AH23" i="3"/>
  <c r="AE23" i="3"/>
  <c r="AD23" i="3"/>
  <c r="AC23" i="3"/>
  <c r="AH22" i="3"/>
  <c r="AE22" i="3"/>
  <c r="AD22" i="3"/>
  <c r="AC22" i="3"/>
  <c r="AH21" i="3"/>
  <c r="AE21" i="3"/>
  <c r="AD21" i="3"/>
  <c r="AC21" i="3"/>
  <c r="AH20" i="3"/>
  <c r="AE20" i="3"/>
  <c r="AD20" i="3"/>
  <c r="AC20" i="3"/>
  <c r="AH19" i="3"/>
  <c r="AE19" i="3"/>
  <c r="AD19" i="3"/>
  <c r="AC19" i="3"/>
  <c r="AH18" i="3"/>
  <c r="AE18" i="3"/>
  <c r="AD18" i="3"/>
  <c r="AC18" i="3"/>
  <c r="AH17" i="3"/>
  <c r="AE17" i="3"/>
  <c r="AD17" i="3"/>
  <c r="AC17" i="3"/>
  <c r="AH16" i="3"/>
  <c r="AE16" i="3"/>
  <c r="AD16" i="3"/>
  <c r="AC16" i="3"/>
  <c r="AH15" i="3"/>
  <c r="AE15" i="3"/>
  <c r="AD15" i="3"/>
  <c r="AC15" i="3"/>
  <c r="AH14" i="3"/>
  <c r="AE14" i="3"/>
  <c r="AD14" i="3"/>
  <c r="AC14" i="3"/>
  <c r="AH13" i="3"/>
  <c r="AE13" i="3"/>
  <c r="AD13" i="3"/>
  <c r="AC13" i="3"/>
  <c r="AH12" i="3"/>
  <c r="AE12" i="3"/>
  <c r="AD12" i="3"/>
  <c r="AC12" i="3"/>
  <c r="AH11" i="3"/>
  <c r="AE11" i="3"/>
  <c r="AD11" i="3"/>
  <c r="AC11" i="3"/>
  <c r="AH10" i="3"/>
  <c r="AE10" i="3"/>
  <c r="AD10" i="3"/>
  <c r="AC10" i="3"/>
  <c r="AH9" i="3"/>
  <c r="AE9" i="3"/>
  <c r="AD9" i="3"/>
  <c r="AC9" i="3"/>
  <c r="AH8" i="3"/>
  <c r="AE8" i="3"/>
  <c r="AD8" i="3"/>
  <c r="AC8" i="3"/>
  <c r="AH7" i="3"/>
  <c r="AE7" i="3"/>
  <c r="AD7" i="3"/>
  <c r="AC7" i="3"/>
  <c r="J37" i="3"/>
  <c r="J36" i="3"/>
  <c r="J35" i="3"/>
  <c r="J34" i="3"/>
  <c r="J33" i="3"/>
  <c r="J32" i="3"/>
  <c r="J31" i="3"/>
  <c r="J28" i="3"/>
  <c r="J27" i="3"/>
  <c r="J26" i="3"/>
  <c r="J25" i="3"/>
  <c r="J24" i="3"/>
  <c r="J23" i="3"/>
  <c r="J22" i="3"/>
  <c r="J21" i="3"/>
  <c r="J20" i="3"/>
  <c r="J19" i="3"/>
  <c r="J18" i="3"/>
  <c r="J17" i="3"/>
  <c r="J16" i="3"/>
  <c r="J15" i="3"/>
  <c r="J14" i="3"/>
  <c r="J13" i="3"/>
  <c r="J12" i="3"/>
  <c r="J11" i="3"/>
  <c r="J10" i="3"/>
  <c r="J9" i="3"/>
  <c r="J8" i="3"/>
  <c r="J7" i="3"/>
  <c r="G37" i="3"/>
  <c r="G36" i="3"/>
  <c r="G35" i="3"/>
  <c r="G34" i="3"/>
  <c r="G33" i="3"/>
  <c r="G32" i="3"/>
  <c r="G31" i="3"/>
  <c r="G28" i="3"/>
  <c r="G27" i="3"/>
  <c r="G26" i="3"/>
  <c r="G25" i="3"/>
  <c r="G24" i="3"/>
  <c r="G23" i="3"/>
  <c r="G22" i="3"/>
  <c r="G21" i="3"/>
  <c r="G20" i="3"/>
  <c r="G19" i="3"/>
  <c r="G18" i="3"/>
  <c r="G17" i="3"/>
  <c r="G16" i="3"/>
  <c r="G15" i="3"/>
  <c r="G14" i="3"/>
  <c r="G13" i="3"/>
  <c r="G12" i="3"/>
  <c r="G11" i="3"/>
  <c r="G10" i="3"/>
  <c r="G9" i="3"/>
  <c r="G8" i="3"/>
  <c r="G7" i="3"/>
  <c r="F37" i="3"/>
  <c r="F36" i="3"/>
  <c r="F35" i="3"/>
  <c r="F34" i="3"/>
  <c r="F33" i="3"/>
  <c r="F32" i="3"/>
  <c r="F31" i="3"/>
  <c r="F30" i="3"/>
  <c r="F28" i="3"/>
  <c r="F27" i="3"/>
  <c r="F26" i="3"/>
  <c r="F25" i="3"/>
  <c r="F24" i="3"/>
  <c r="F23" i="3"/>
  <c r="F22" i="3"/>
  <c r="F21" i="3"/>
  <c r="F20" i="3"/>
  <c r="F19" i="3"/>
  <c r="F18" i="3"/>
  <c r="F17" i="3"/>
  <c r="F16" i="3"/>
  <c r="F15" i="3"/>
  <c r="F14" i="3"/>
  <c r="F13" i="3"/>
  <c r="F12" i="3"/>
  <c r="F11" i="3"/>
  <c r="F10" i="3"/>
  <c r="F9" i="3"/>
  <c r="F8" i="3"/>
  <c r="F7" i="3"/>
  <c r="E37" i="3"/>
  <c r="E36" i="3"/>
  <c r="E35" i="3"/>
  <c r="E34" i="3"/>
  <c r="E33" i="3"/>
  <c r="E32" i="3"/>
  <c r="E31" i="3"/>
  <c r="E30" i="3"/>
  <c r="E28" i="3"/>
  <c r="E27" i="3"/>
  <c r="E26" i="3"/>
  <c r="E25" i="3"/>
  <c r="E24" i="3"/>
  <c r="E23" i="3"/>
  <c r="E22" i="3"/>
  <c r="E21" i="3"/>
  <c r="E20" i="3"/>
  <c r="E19" i="3"/>
  <c r="E18" i="3"/>
  <c r="E17" i="3"/>
  <c r="E16" i="3"/>
  <c r="E15" i="3"/>
  <c r="E14" i="3"/>
  <c r="E13" i="3"/>
  <c r="E12" i="3"/>
  <c r="E11" i="3"/>
  <c r="E10" i="3"/>
  <c r="E9" i="3"/>
  <c r="E8" i="3"/>
  <c r="E7" i="3"/>
  <c r="K6" i="3"/>
  <c r="H6" i="3"/>
  <c r="AH29" i="11" l="1"/>
  <c r="D6" i="13"/>
  <c r="AB38" i="11"/>
  <c r="D11" i="10"/>
  <c r="D19" i="10"/>
  <c r="AN19" i="10"/>
  <c r="D10" i="8"/>
  <c r="AB19" i="8"/>
  <c r="AN13" i="10"/>
  <c r="G6" i="8"/>
  <c r="D33" i="10"/>
  <c r="J6" i="12"/>
  <c r="AB9" i="10"/>
  <c r="AN24" i="10"/>
  <c r="D22" i="8"/>
  <c r="D7" i="10"/>
  <c r="D15" i="10"/>
  <c r="AN15" i="10"/>
  <c r="AN36" i="10"/>
  <c r="AN22" i="8"/>
  <c r="AN7" i="10"/>
  <c r="P24" i="8"/>
  <c r="P8" i="8"/>
  <c r="P14" i="12"/>
  <c r="P37" i="3"/>
  <c r="P9" i="10"/>
  <c r="P13" i="10"/>
  <c r="P17" i="10"/>
  <c r="AD38" i="3"/>
  <c r="AD29" i="3" s="1"/>
  <c r="AH38" i="3"/>
  <c r="P9" i="3"/>
  <c r="P13" i="3"/>
  <c r="P17" i="3"/>
  <c r="P21" i="3"/>
  <c r="P25" i="3"/>
  <c r="P28" i="8"/>
  <c r="AH29" i="8"/>
  <c r="AH6" i="8"/>
  <c r="J6" i="10"/>
  <c r="P8" i="10"/>
  <c r="AN10" i="10"/>
  <c r="AB12" i="10"/>
  <c r="P12" i="10"/>
  <c r="D14" i="10"/>
  <c r="AN14" i="10"/>
  <c r="AB16" i="10"/>
  <c r="P16" i="10"/>
  <c r="D18" i="10"/>
  <c r="AN18" i="10"/>
  <c r="AB25" i="10"/>
  <c r="S6" i="10"/>
  <c r="AB23" i="11"/>
  <c r="P23" i="11"/>
  <c r="R29" i="11"/>
  <c r="P29" i="11" s="1"/>
  <c r="AD6" i="11"/>
  <c r="AN12" i="11"/>
  <c r="AB7" i="8"/>
  <c r="AB11" i="8"/>
  <c r="AN21" i="10"/>
  <c r="P23" i="10"/>
  <c r="P21" i="11"/>
  <c r="P25" i="11"/>
  <c r="D27" i="11"/>
  <c r="AC6" i="12"/>
  <c r="AB6" i="13"/>
  <c r="AN38" i="8"/>
  <c r="AQ6" i="8"/>
  <c r="AB23" i="10"/>
  <c r="AN26" i="10"/>
  <c r="D12" i="8"/>
  <c r="AN12" i="8"/>
  <c r="AB14" i="8"/>
  <c r="P14" i="8"/>
  <c r="D16" i="8"/>
  <c r="AN16" i="8"/>
  <c r="P18" i="8"/>
  <c r="D28" i="8"/>
  <c r="AB38" i="8"/>
  <c r="AO38" i="3"/>
  <c r="AO29" i="3" s="1"/>
  <c r="P18" i="12"/>
  <c r="P22" i="12"/>
  <c r="P26" i="12"/>
  <c r="D21" i="10"/>
  <c r="D26" i="10"/>
  <c r="AB13" i="8"/>
  <c r="AN27" i="8"/>
  <c r="AN14" i="11"/>
  <c r="R6" i="11"/>
  <c r="P20" i="11"/>
  <c r="D22" i="11"/>
  <c r="D13" i="11"/>
  <c r="AN13" i="11"/>
  <c r="AN28" i="11"/>
  <c r="AC6" i="11"/>
  <c r="AT29" i="11"/>
  <c r="J6" i="11"/>
  <c r="D7" i="11"/>
  <c r="AN7" i="11"/>
  <c r="AB9" i="11"/>
  <c r="P9" i="11"/>
  <c r="D11" i="11"/>
  <c r="P14" i="11"/>
  <c r="D16" i="11"/>
  <c r="AN16" i="11"/>
  <c r="P18" i="11"/>
  <c r="D20" i="11"/>
  <c r="P26" i="11"/>
  <c r="P28" i="11"/>
  <c r="D35" i="11"/>
  <c r="AB36" i="11"/>
  <c r="P36" i="11"/>
  <c r="D38" i="11"/>
  <c r="AH6" i="11"/>
  <c r="S6" i="11"/>
  <c r="F29" i="11"/>
  <c r="E6" i="10"/>
  <c r="P35" i="10"/>
  <c r="D37" i="10"/>
  <c r="AC6" i="10"/>
  <c r="AO6" i="10"/>
  <c r="P11" i="8"/>
  <c r="D13" i="8"/>
  <c r="AN13" i="8"/>
  <c r="AB15" i="8"/>
  <c r="P15" i="8"/>
  <c r="D17" i="8"/>
  <c r="AN21" i="8"/>
  <c r="AB23" i="8"/>
  <c r="P23" i="8"/>
  <c r="D25" i="8"/>
  <c r="AN25" i="8"/>
  <c r="AB27" i="8"/>
  <c r="P27" i="8"/>
  <c r="AT29" i="8"/>
  <c r="P35" i="8"/>
  <c r="P38" i="8"/>
  <c r="E6" i="8"/>
  <c r="AP6" i="8"/>
  <c r="D26" i="8"/>
  <c r="AN26" i="8"/>
  <c r="P8" i="3"/>
  <c r="P12" i="3"/>
  <c r="P16" i="3"/>
  <c r="P20" i="3"/>
  <c r="P24" i="3"/>
  <c r="P28" i="3"/>
  <c r="AB20" i="3"/>
  <c r="V29" i="3"/>
  <c r="AR29" i="3"/>
  <c r="S6" i="3"/>
  <c r="V6" i="3"/>
  <c r="S29" i="12"/>
  <c r="P7" i="12"/>
  <c r="AB13" i="12"/>
  <c r="P13" i="12"/>
  <c r="AB17" i="12"/>
  <c r="P17" i="12"/>
  <c r="P21" i="12"/>
  <c r="P25" i="12"/>
  <c r="D35" i="12"/>
  <c r="P28" i="12"/>
  <c r="P11" i="12"/>
  <c r="P12" i="12"/>
  <c r="AN22" i="11"/>
  <c r="D7" i="8"/>
  <c r="F6" i="8"/>
  <c r="AB9" i="8"/>
  <c r="AP29" i="8"/>
  <c r="P7" i="3"/>
  <c r="P11" i="3"/>
  <c r="P19" i="3"/>
  <c r="P27" i="3"/>
  <c r="AN25" i="11"/>
  <c r="AE6" i="8"/>
  <c r="AD6" i="8"/>
  <c r="AB6" i="8" s="1"/>
  <c r="AT38" i="3"/>
  <c r="AN29" i="13"/>
  <c r="AB12" i="8"/>
  <c r="P12" i="8"/>
  <c r="D14" i="8"/>
  <c r="AN14" i="8"/>
  <c r="S6" i="8"/>
  <c r="R6" i="8"/>
  <c r="AB38" i="10"/>
  <c r="AH6" i="10"/>
  <c r="AN20" i="11"/>
  <c r="S6" i="12"/>
  <c r="D20" i="8"/>
  <c r="AN7" i="8"/>
  <c r="P9" i="8"/>
  <c r="P23" i="3"/>
  <c r="P29" i="13"/>
  <c r="D11" i="8"/>
  <c r="AC29" i="10"/>
  <c r="P15" i="3"/>
  <c r="AQ29" i="8"/>
  <c r="F29" i="8"/>
  <c r="AB36" i="8"/>
  <c r="P36" i="8"/>
  <c r="P20" i="10"/>
  <c r="D22" i="10"/>
  <c r="P25" i="10"/>
  <c r="P28" i="10"/>
  <c r="V29" i="10"/>
  <c r="P38" i="10"/>
  <c r="D8" i="11"/>
  <c r="AN8" i="11"/>
  <c r="P10" i="11"/>
  <c r="D12" i="11"/>
  <c r="P15" i="11"/>
  <c r="D17" i="11"/>
  <c r="P19" i="11"/>
  <c r="P24" i="11"/>
  <c r="D34" i="11"/>
  <c r="P37" i="11"/>
  <c r="V29" i="11"/>
  <c r="D31" i="12"/>
  <c r="P35" i="12"/>
  <c r="AC38" i="3"/>
  <c r="AC29" i="3" s="1"/>
  <c r="AV29" i="3"/>
  <c r="AT29" i="3" s="1"/>
  <c r="P10" i="3"/>
  <c r="P14" i="3"/>
  <c r="P18" i="3"/>
  <c r="P22" i="3"/>
  <c r="P26" i="3"/>
  <c r="AN10" i="8"/>
  <c r="AN11" i="8"/>
  <c r="P13" i="8"/>
  <c r="D15" i="8"/>
  <c r="AB17" i="8"/>
  <c r="P17" i="8"/>
  <c r="D19" i="8"/>
  <c r="AB21" i="8"/>
  <c r="AB22" i="8"/>
  <c r="P22" i="8"/>
  <c r="D24" i="8"/>
  <c r="AN24" i="8"/>
  <c r="AB26" i="8"/>
  <c r="P26" i="8"/>
  <c r="AN28" i="8"/>
  <c r="AN37" i="8"/>
  <c r="V6" i="8"/>
  <c r="AQ6" i="10"/>
  <c r="AB7" i="10"/>
  <c r="P7" i="10"/>
  <c r="D9" i="10"/>
  <c r="AB11" i="10"/>
  <c r="P11" i="10"/>
  <c r="P15" i="10"/>
  <c r="AN17" i="10"/>
  <c r="P19" i="10"/>
  <c r="P24" i="10"/>
  <c r="G29" i="10"/>
  <c r="AH29" i="10"/>
  <c r="AN35" i="10"/>
  <c r="AB37" i="10"/>
  <c r="P37" i="10"/>
  <c r="D21" i="11"/>
  <c r="AN21" i="11"/>
  <c r="E6" i="11"/>
  <c r="D26" i="11"/>
  <c r="AN26" i="11"/>
  <c r="P27" i="11"/>
  <c r="J29" i="11"/>
  <c r="P16" i="12"/>
  <c r="P20" i="12"/>
  <c r="P24" i="12"/>
  <c r="J29" i="12"/>
  <c r="V29" i="12"/>
  <c r="P27" i="12"/>
  <c r="P16" i="8"/>
  <c r="AN18" i="8"/>
  <c r="D23" i="8"/>
  <c r="P25" i="8"/>
  <c r="AT6" i="10"/>
  <c r="D8" i="10"/>
  <c r="P10" i="10"/>
  <c r="D12" i="10"/>
  <c r="P14" i="10"/>
  <c r="D16" i="10"/>
  <c r="D25" i="10"/>
  <c r="AQ29" i="10"/>
  <c r="AB27" i="11"/>
  <c r="D8" i="12"/>
  <c r="P15" i="12"/>
  <c r="P23" i="12"/>
  <c r="P35" i="3"/>
  <c r="J6" i="8"/>
  <c r="P7" i="8"/>
  <c r="D9" i="8"/>
  <c r="AB20" i="8"/>
  <c r="P20" i="8"/>
  <c r="S29" i="8"/>
  <c r="P22" i="10"/>
  <c r="AB27" i="10"/>
  <c r="P27" i="10"/>
  <c r="AN28" i="10"/>
  <c r="D32" i="10"/>
  <c r="AN38" i="10"/>
  <c r="V6" i="10"/>
  <c r="P8" i="11"/>
  <c r="D10" i="11"/>
  <c r="AN10" i="11"/>
  <c r="D15" i="11"/>
  <c r="AN15" i="11"/>
  <c r="P17" i="11"/>
  <c r="D19" i="11"/>
  <c r="AN19" i="11"/>
  <c r="P22" i="11"/>
  <c r="D24" i="11"/>
  <c r="P35" i="11"/>
  <c r="S29" i="11"/>
  <c r="U29" i="3"/>
  <c r="S29" i="3" s="1"/>
  <c r="S38" i="3"/>
  <c r="V6" i="12"/>
  <c r="P37" i="12"/>
  <c r="P10" i="12"/>
  <c r="P21" i="8"/>
  <c r="AN23" i="8"/>
  <c r="AN8" i="10"/>
  <c r="AN12" i="10"/>
  <c r="P18" i="10"/>
  <c r="AB36" i="10"/>
  <c r="AB13" i="11"/>
  <c r="D28" i="11"/>
  <c r="AD6" i="10"/>
  <c r="G6" i="11"/>
  <c r="P12" i="11"/>
  <c r="D14" i="11"/>
  <c r="P9" i="12"/>
  <c r="P38" i="13"/>
  <c r="D18" i="8"/>
  <c r="AB25" i="8"/>
  <c r="AE29" i="8"/>
  <c r="AB14" i="10"/>
  <c r="AN16" i="10"/>
  <c r="AB18" i="10"/>
  <c r="D35" i="10"/>
  <c r="P36" i="10"/>
  <c r="P13" i="11"/>
  <c r="AB15" i="12"/>
  <c r="P19" i="12"/>
  <c r="AB21" i="3"/>
  <c r="P36" i="3"/>
  <c r="D8" i="8"/>
  <c r="P10" i="8"/>
  <c r="P19" i="8"/>
  <c r="D21" i="8"/>
  <c r="AB28" i="8"/>
  <c r="V29" i="8"/>
  <c r="P37" i="8"/>
  <c r="P21" i="10"/>
  <c r="D23" i="10"/>
  <c r="P26" i="10"/>
  <c r="AT6" i="11"/>
  <c r="AB7" i="11"/>
  <c r="P7" i="11"/>
  <c r="D9" i="11"/>
  <c r="AB11" i="11"/>
  <c r="P11" i="11"/>
  <c r="P16" i="11"/>
  <c r="D18" i="11"/>
  <c r="AN18" i="11"/>
  <c r="D23" i="11"/>
  <c r="AN27" i="11"/>
  <c r="P38" i="11"/>
  <c r="V6" i="11"/>
  <c r="G38" i="3"/>
  <c r="V38" i="3"/>
  <c r="P36" i="12"/>
  <c r="P8" i="12"/>
  <c r="P6" i="13"/>
  <c r="AN6" i="13"/>
  <c r="AB12" i="12"/>
  <c r="AB28" i="12"/>
  <c r="D9" i="12"/>
  <c r="AB29" i="13"/>
  <c r="AB20" i="12"/>
  <c r="AN7" i="12"/>
  <c r="AN24" i="12"/>
  <c r="AT6" i="12"/>
  <c r="AN27" i="12"/>
  <c r="AN26" i="12"/>
  <c r="AN25" i="12"/>
  <c r="AN22" i="12"/>
  <c r="AN21" i="12"/>
  <c r="AN20" i="12"/>
  <c r="AN17" i="12"/>
  <c r="AN16" i="12"/>
  <c r="AQ29" i="12"/>
  <c r="AH29" i="12"/>
  <c r="AB36" i="12"/>
  <c r="AE29" i="12"/>
  <c r="AH6" i="12"/>
  <c r="AB21" i="12"/>
  <c r="AB23" i="12"/>
  <c r="AB8" i="12"/>
  <c r="D26" i="12"/>
  <c r="D25" i="12"/>
  <c r="D24" i="12"/>
  <c r="D23" i="12"/>
  <c r="D18" i="12"/>
  <c r="D17" i="12"/>
  <c r="D16" i="12"/>
  <c r="D15" i="12"/>
  <c r="D10" i="12"/>
  <c r="G6" i="12"/>
  <c r="D7" i="12"/>
  <c r="E6" i="12"/>
  <c r="D33" i="12"/>
  <c r="G29" i="12"/>
  <c r="AT29" i="12"/>
  <c r="AN37" i="12"/>
  <c r="AN35" i="12"/>
  <c r="AN36" i="12"/>
  <c r="AN8" i="12"/>
  <c r="AN10" i="12"/>
  <c r="AN11" i="12"/>
  <c r="AN12" i="12"/>
  <c r="AN13" i="12"/>
  <c r="AN14" i="12"/>
  <c r="AN18" i="12"/>
  <c r="AO6" i="12"/>
  <c r="AQ6" i="12"/>
  <c r="AN15" i="12"/>
  <c r="AN23" i="12"/>
  <c r="AN28" i="12"/>
  <c r="AP6" i="12"/>
  <c r="AN19" i="12"/>
  <c r="AN9" i="12"/>
  <c r="AD6" i="12"/>
  <c r="AB25" i="12"/>
  <c r="AB11" i="12"/>
  <c r="AB14" i="12"/>
  <c r="AB19" i="12"/>
  <c r="AB22" i="12"/>
  <c r="AB27" i="12"/>
  <c r="AB10" i="12"/>
  <c r="AB18" i="12"/>
  <c r="AB26" i="12"/>
  <c r="AB7" i="12"/>
  <c r="AB16" i="12"/>
  <c r="AB24" i="12"/>
  <c r="D32" i="12"/>
  <c r="E29" i="12"/>
  <c r="D36" i="12"/>
  <c r="D11" i="12"/>
  <c r="D28" i="12"/>
  <c r="D13" i="12"/>
  <c r="D14" i="12"/>
  <c r="D21" i="12"/>
  <c r="D22" i="12"/>
  <c r="D12" i="12"/>
  <c r="D20" i="12"/>
  <c r="F6" i="12"/>
  <c r="R6" i="12"/>
  <c r="D34" i="12"/>
  <c r="AP38" i="12"/>
  <c r="AN38" i="12" s="1"/>
  <c r="AB9" i="12"/>
  <c r="AC29" i="12"/>
  <c r="AO29" i="12"/>
  <c r="J38" i="12"/>
  <c r="D19" i="12"/>
  <c r="D27" i="12"/>
  <c r="D37" i="12"/>
  <c r="AB37" i="12"/>
  <c r="D38" i="12"/>
  <c r="AD38" i="12"/>
  <c r="AE6" i="12"/>
  <c r="F29" i="12"/>
  <c r="AQ38" i="12"/>
  <c r="R38" i="12"/>
  <c r="P38" i="12" s="1"/>
  <c r="R38" i="3"/>
  <c r="R29" i="3" s="1"/>
  <c r="D15" i="3"/>
  <c r="D19" i="3"/>
  <c r="D23" i="3"/>
  <c r="E38" i="3"/>
  <c r="E29" i="3" s="1"/>
  <c r="AP38" i="3"/>
  <c r="AP29" i="3" s="1"/>
  <c r="R6" i="3"/>
  <c r="AN37" i="3"/>
  <c r="AS29" i="3"/>
  <c r="AQ38" i="3"/>
  <c r="AB37" i="3"/>
  <c r="AE38" i="3"/>
  <c r="K29" i="3"/>
  <c r="J38" i="3"/>
  <c r="D32" i="3"/>
  <c r="F38" i="3"/>
  <c r="D36" i="3"/>
  <c r="AN9" i="3"/>
  <c r="AN20" i="3"/>
  <c r="AP6" i="3"/>
  <c r="AN25" i="3"/>
  <c r="AN21" i="3"/>
  <c r="AD6" i="3"/>
  <c r="AB25" i="3"/>
  <c r="AE6" i="3"/>
  <c r="AB9" i="3"/>
  <c r="AB12" i="3"/>
  <c r="AB13" i="3"/>
  <c r="AB16" i="3"/>
  <c r="AB17" i="3"/>
  <c r="AC6" i="3"/>
  <c r="D11" i="3"/>
  <c r="D27" i="3"/>
  <c r="D7" i="3"/>
  <c r="AO6" i="11"/>
  <c r="AN9" i="11"/>
  <c r="AN17" i="11"/>
  <c r="AN23" i="11"/>
  <c r="AN24" i="11"/>
  <c r="AN11" i="11"/>
  <c r="AP6" i="11"/>
  <c r="AQ6" i="11"/>
  <c r="AO29" i="11"/>
  <c r="AP29" i="11"/>
  <c r="AN35" i="11"/>
  <c r="AN36" i="11"/>
  <c r="AN37" i="11"/>
  <c r="AN38" i="11"/>
  <c r="AE29" i="11"/>
  <c r="AD29" i="11"/>
  <c r="AB37" i="11"/>
  <c r="AC29" i="11"/>
  <c r="AB25" i="11"/>
  <c r="AB15" i="11"/>
  <c r="AB17" i="11"/>
  <c r="AB19" i="11"/>
  <c r="AB21" i="11"/>
  <c r="AB24" i="11"/>
  <c r="AB28" i="11"/>
  <c r="AB8" i="11"/>
  <c r="AB10" i="11"/>
  <c r="AB12" i="11"/>
  <c r="AB14" i="11"/>
  <c r="AB16" i="11"/>
  <c r="AB18" i="11"/>
  <c r="AB20" i="11"/>
  <c r="AB22" i="11"/>
  <c r="AB26" i="11"/>
  <c r="G29" i="11"/>
  <c r="D31" i="11"/>
  <c r="D37" i="11"/>
  <c r="D36" i="11"/>
  <c r="E29" i="11"/>
  <c r="D32" i="11"/>
  <c r="F6" i="11"/>
  <c r="D25" i="11"/>
  <c r="AE6" i="11"/>
  <c r="AT29" i="10"/>
  <c r="AN37" i="10"/>
  <c r="AO29" i="10"/>
  <c r="AP29" i="10"/>
  <c r="AN9" i="10"/>
  <c r="AN27" i="10"/>
  <c r="AN11" i="10"/>
  <c r="AN22" i="10"/>
  <c r="AN23" i="10"/>
  <c r="AP6" i="10"/>
  <c r="AD29" i="10"/>
  <c r="AE29" i="10"/>
  <c r="AB10" i="10"/>
  <c r="AB13" i="10"/>
  <c r="AB17" i="10"/>
  <c r="AB20" i="10"/>
  <c r="AB24" i="10"/>
  <c r="AB28" i="10"/>
  <c r="AB22" i="10"/>
  <c r="AB8" i="10"/>
  <c r="AB15" i="10"/>
  <c r="AB19" i="10"/>
  <c r="AB26" i="10"/>
  <c r="AB21" i="10"/>
  <c r="F29" i="10"/>
  <c r="D34" i="10"/>
  <c r="D36" i="10"/>
  <c r="D38" i="10"/>
  <c r="D31" i="10"/>
  <c r="E29" i="10"/>
  <c r="D27" i="10"/>
  <c r="F6" i="10"/>
  <c r="D10" i="10"/>
  <c r="D13" i="10"/>
  <c r="D17" i="10"/>
  <c r="D20" i="10"/>
  <c r="D24" i="10"/>
  <c r="D28" i="10"/>
  <c r="G6" i="10"/>
  <c r="R29" i="10"/>
  <c r="R6" i="10"/>
  <c r="AE6" i="10"/>
  <c r="AN8" i="8"/>
  <c r="AN9" i="8"/>
  <c r="AN19" i="8"/>
  <c r="AN20" i="8"/>
  <c r="AN15" i="8"/>
  <c r="AN17" i="8"/>
  <c r="AT6" i="8"/>
  <c r="AO6" i="8"/>
  <c r="AN35" i="8"/>
  <c r="AN36" i="8"/>
  <c r="AO29" i="8"/>
  <c r="AC29" i="8"/>
  <c r="AB37" i="8"/>
  <c r="AD29" i="8"/>
  <c r="J29" i="8"/>
  <c r="E29" i="8"/>
  <c r="D31" i="8"/>
  <c r="D33" i="8"/>
  <c r="D35" i="8"/>
  <c r="D37" i="8"/>
  <c r="G29" i="8"/>
  <c r="D32" i="8"/>
  <c r="D34" i="8"/>
  <c r="D36" i="8"/>
  <c r="D38" i="8"/>
  <c r="AH6" i="3"/>
  <c r="AB8" i="8"/>
  <c r="AB16" i="8"/>
  <c r="AB24" i="8"/>
  <c r="AB10" i="8"/>
  <c r="AB18" i="8"/>
  <c r="D27" i="8"/>
  <c r="R29" i="8"/>
  <c r="AE29" i="3"/>
  <c r="AB36" i="3"/>
  <c r="AB24" i="3"/>
  <c r="AT6" i="3"/>
  <c r="AB8" i="3"/>
  <c r="AQ6" i="3"/>
  <c r="AN8" i="3"/>
  <c r="AN24" i="3"/>
  <c r="D8" i="3"/>
  <c r="D12" i="3"/>
  <c r="D16" i="3"/>
  <c r="D20" i="3"/>
  <c r="D24" i="3"/>
  <c r="D28" i="3"/>
  <c r="D33" i="3"/>
  <c r="D37" i="3"/>
  <c r="AB28" i="3"/>
  <c r="AN10" i="3"/>
  <c r="AN11" i="3"/>
  <c r="AN13" i="3"/>
  <c r="AN14" i="3"/>
  <c r="AN15" i="3"/>
  <c r="AN17" i="3"/>
  <c r="D10" i="3"/>
  <c r="D14" i="3"/>
  <c r="D18" i="3"/>
  <c r="D22" i="3"/>
  <c r="D26" i="3"/>
  <c r="D31" i="3"/>
  <c r="D35" i="3"/>
  <c r="D9" i="3"/>
  <c r="D13" i="3"/>
  <c r="D17" i="3"/>
  <c r="D21" i="3"/>
  <c r="D25" i="3"/>
  <c r="D34" i="3"/>
  <c r="AO6" i="3"/>
  <c r="AN28" i="3"/>
  <c r="AN36" i="3"/>
  <c r="AH29" i="3"/>
  <c r="AN12" i="3"/>
  <c r="AN22" i="3"/>
  <c r="AN23" i="3"/>
  <c r="AB7" i="3"/>
  <c r="AB14" i="3"/>
  <c r="AB15" i="3"/>
  <c r="AB22" i="3"/>
  <c r="AB23" i="3"/>
  <c r="AN7" i="3"/>
  <c r="AN18" i="3"/>
  <c r="AN19" i="3"/>
  <c r="AN35" i="3"/>
  <c r="E6" i="3"/>
  <c r="AB10" i="3"/>
  <c r="AB11" i="3"/>
  <c r="AB18" i="3"/>
  <c r="AB19" i="3"/>
  <c r="AB26" i="3"/>
  <c r="AB27" i="3"/>
  <c r="AN16" i="3"/>
  <c r="AN26" i="3"/>
  <c r="AN27" i="3"/>
  <c r="L29" i="3"/>
  <c r="I29" i="3"/>
  <c r="G29" i="3" s="1"/>
  <c r="L6" i="3"/>
  <c r="J6" i="3" s="1"/>
  <c r="I6" i="3"/>
  <c r="G6" i="3" s="1"/>
  <c r="AZ41" i="1"/>
  <c r="W41" i="1" s="1"/>
  <c r="AY41" i="1"/>
  <c r="V41" i="1" s="1"/>
  <c r="AX41" i="1"/>
  <c r="AX33" i="1" s="1"/>
  <c r="AW41" i="1"/>
  <c r="T41" i="1" s="1"/>
  <c r="AW30" i="1"/>
  <c r="V40" i="1"/>
  <c r="W40" i="1"/>
  <c r="T40" i="1"/>
  <c r="U40" i="1"/>
  <c r="V39" i="1"/>
  <c r="W39" i="1"/>
  <c r="T39" i="1"/>
  <c r="U39" i="1"/>
  <c r="V38" i="1"/>
  <c r="W38" i="1"/>
  <c r="T38" i="1"/>
  <c r="U38" i="1"/>
  <c r="S38" i="1" s="1"/>
  <c r="V37" i="1"/>
  <c r="W37" i="1"/>
  <c r="T37" i="1"/>
  <c r="R37" i="1" s="1"/>
  <c r="U37" i="1"/>
  <c r="V36" i="1"/>
  <c r="W36" i="1"/>
  <c r="T36" i="1"/>
  <c r="U36" i="1"/>
  <c r="D36" i="1" s="1"/>
  <c r="V35" i="1"/>
  <c r="W35" i="1"/>
  <c r="T35" i="1"/>
  <c r="U35" i="1"/>
  <c r="V34" i="1"/>
  <c r="W34" i="1"/>
  <c r="T34" i="1"/>
  <c r="U34" i="1"/>
  <c r="V32" i="1"/>
  <c r="W32" i="1"/>
  <c r="T32" i="1"/>
  <c r="R32" i="1" s="1"/>
  <c r="U32" i="1"/>
  <c r="V31" i="1"/>
  <c r="W31" i="1"/>
  <c r="T31" i="1"/>
  <c r="U31" i="1"/>
  <c r="S31" i="1" s="1"/>
  <c r="V29" i="1"/>
  <c r="W29" i="1"/>
  <c r="T29" i="1"/>
  <c r="U29" i="1"/>
  <c r="V28" i="1"/>
  <c r="R28" i="1" s="1"/>
  <c r="W28" i="1"/>
  <c r="T28" i="1"/>
  <c r="U28" i="1"/>
  <c r="D28" i="1" s="1"/>
  <c r="V27" i="1"/>
  <c r="W27" i="1"/>
  <c r="T27" i="1"/>
  <c r="R27" i="1" s="1"/>
  <c r="U27" i="1"/>
  <c r="V26" i="1"/>
  <c r="W26" i="1"/>
  <c r="T26" i="1"/>
  <c r="U26" i="1"/>
  <c r="S26" i="1" s="1"/>
  <c r="V25" i="1"/>
  <c r="W25" i="1"/>
  <c r="T25" i="1"/>
  <c r="U25" i="1"/>
  <c r="V24" i="1"/>
  <c r="W24" i="1"/>
  <c r="T24" i="1"/>
  <c r="U24" i="1"/>
  <c r="S24" i="1" s="1"/>
  <c r="V23" i="1"/>
  <c r="W23" i="1"/>
  <c r="T23" i="1"/>
  <c r="U23" i="1"/>
  <c r="V22" i="1"/>
  <c r="E22" i="1" s="1"/>
  <c r="W22" i="1"/>
  <c r="T22" i="1"/>
  <c r="U22" i="1"/>
  <c r="S22" i="1" s="1"/>
  <c r="V21" i="1"/>
  <c r="W21" i="1"/>
  <c r="T21" i="1"/>
  <c r="R21" i="1" s="1"/>
  <c r="U21" i="1"/>
  <c r="V20" i="1"/>
  <c r="W20" i="1"/>
  <c r="T20" i="1"/>
  <c r="R20" i="1" s="1"/>
  <c r="U20" i="1"/>
  <c r="S20" i="1" s="1"/>
  <c r="V19" i="1"/>
  <c r="W19" i="1"/>
  <c r="T19" i="1"/>
  <c r="R19" i="1" s="1"/>
  <c r="U19" i="1"/>
  <c r="V18" i="1"/>
  <c r="W18" i="1"/>
  <c r="T18" i="1"/>
  <c r="U18" i="1"/>
  <c r="V17" i="1"/>
  <c r="W17" i="1"/>
  <c r="T17" i="1"/>
  <c r="R17" i="1" s="1"/>
  <c r="U17" i="1"/>
  <c r="V16" i="1"/>
  <c r="W16" i="1"/>
  <c r="T16" i="1"/>
  <c r="R16" i="1" s="1"/>
  <c r="U16" i="1"/>
  <c r="S16" i="1" s="1"/>
  <c r="V15" i="1"/>
  <c r="W15" i="1"/>
  <c r="T15" i="1"/>
  <c r="R15" i="1" s="1"/>
  <c r="U15" i="1"/>
  <c r="V14" i="1"/>
  <c r="W14" i="1"/>
  <c r="T14" i="1"/>
  <c r="U14" i="1"/>
  <c r="S14" i="1" s="1"/>
  <c r="V13" i="1"/>
  <c r="W13" i="1"/>
  <c r="T13" i="1"/>
  <c r="U13" i="1"/>
  <c r="V12" i="1"/>
  <c r="W12" i="1"/>
  <c r="T12" i="1"/>
  <c r="U12" i="1"/>
  <c r="S12" i="1" s="1"/>
  <c r="V11" i="1"/>
  <c r="W11" i="1"/>
  <c r="T11" i="1"/>
  <c r="R11" i="1" s="1"/>
  <c r="U11" i="1"/>
  <c r="V10" i="1"/>
  <c r="W10" i="1"/>
  <c r="T10" i="1"/>
  <c r="U10" i="1"/>
  <c r="S10" i="1" s="1"/>
  <c r="V9" i="1"/>
  <c r="W9" i="1"/>
  <c r="T9" i="1"/>
  <c r="R9" i="1" s="1"/>
  <c r="U9" i="1"/>
  <c r="V8" i="1"/>
  <c r="W8" i="1"/>
  <c r="T8" i="1"/>
  <c r="U8" i="1"/>
  <c r="V7" i="1"/>
  <c r="W7" i="1"/>
  <c r="T7" i="1"/>
  <c r="R7" i="1" s="1"/>
  <c r="U7" i="1"/>
  <c r="BU33" i="1"/>
  <c r="BT33" i="1"/>
  <c r="BU30" i="1"/>
  <c r="BT30" i="1"/>
  <c r="BU6" i="1"/>
  <c r="BT6" i="1"/>
  <c r="AV40" i="1"/>
  <c r="AU40" i="1"/>
  <c r="AV39" i="1"/>
  <c r="AU39" i="1"/>
  <c r="AV38" i="1"/>
  <c r="AU38" i="1"/>
  <c r="AV37" i="1"/>
  <c r="AU37" i="1"/>
  <c r="AV36" i="1"/>
  <c r="AU36" i="1"/>
  <c r="AV35" i="1"/>
  <c r="AU35" i="1"/>
  <c r="AV34" i="1"/>
  <c r="AU34" i="1"/>
  <c r="AV32" i="1"/>
  <c r="AU32" i="1"/>
  <c r="AV31" i="1"/>
  <c r="AU31" i="1"/>
  <c r="AZ30" i="1"/>
  <c r="AY30" i="1"/>
  <c r="AX30" i="1"/>
  <c r="AV29" i="1"/>
  <c r="AU29" i="1"/>
  <c r="AV28" i="1"/>
  <c r="AU28" i="1"/>
  <c r="AV27" i="1"/>
  <c r="AU27" i="1"/>
  <c r="AV26" i="1"/>
  <c r="AU26" i="1"/>
  <c r="AV25" i="1"/>
  <c r="AU25" i="1"/>
  <c r="AV24" i="1"/>
  <c r="AU24" i="1"/>
  <c r="AV23" i="1"/>
  <c r="AU23" i="1"/>
  <c r="AV22" i="1"/>
  <c r="AU22" i="1"/>
  <c r="AV21" i="1"/>
  <c r="AU21" i="1"/>
  <c r="AV20" i="1"/>
  <c r="AU20" i="1"/>
  <c r="AV19" i="1"/>
  <c r="AU19" i="1"/>
  <c r="AV18" i="1"/>
  <c r="AU18" i="1"/>
  <c r="AV17" i="1"/>
  <c r="AU17" i="1"/>
  <c r="AV16" i="1"/>
  <c r="AU16" i="1"/>
  <c r="AV15" i="1"/>
  <c r="AU15" i="1"/>
  <c r="AV14" i="1"/>
  <c r="AU14" i="1"/>
  <c r="AV13" i="1"/>
  <c r="AU13" i="1"/>
  <c r="AV12" i="1"/>
  <c r="AU12" i="1"/>
  <c r="AV11" i="1"/>
  <c r="AU11" i="1"/>
  <c r="AV10" i="1"/>
  <c r="AU10" i="1"/>
  <c r="AV9" i="1"/>
  <c r="AU9" i="1"/>
  <c r="AV8" i="1"/>
  <c r="AU8" i="1"/>
  <c r="AV7" i="1"/>
  <c r="AU7" i="1"/>
  <c r="AZ6" i="1"/>
  <c r="AY6" i="1"/>
  <c r="AX6" i="1"/>
  <c r="AW6" i="1"/>
  <c r="BF41" i="1"/>
  <c r="AD41" i="1" s="1"/>
  <c r="BE41" i="1"/>
  <c r="AC41" i="1" s="1"/>
  <c r="BD41" i="1"/>
  <c r="AB41" i="1" s="1"/>
  <c r="BC41" i="1"/>
  <c r="BC33" i="1" s="1"/>
  <c r="AD40" i="1"/>
  <c r="AC40" i="1"/>
  <c r="AB40" i="1"/>
  <c r="AA40" i="1"/>
  <c r="AD39" i="1"/>
  <c r="AC39" i="1"/>
  <c r="AB39" i="1"/>
  <c r="AA39" i="1"/>
  <c r="AD38" i="1"/>
  <c r="AC38" i="1"/>
  <c r="Y38" i="1" s="1"/>
  <c r="AB38" i="1"/>
  <c r="AA38" i="1"/>
  <c r="AD37" i="1"/>
  <c r="AC37" i="1"/>
  <c r="AB37" i="1"/>
  <c r="AA37" i="1"/>
  <c r="AD36" i="1"/>
  <c r="AC36" i="1"/>
  <c r="AB36" i="1"/>
  <c r="AA36" i="1"/>
  <c r="AD35" i="1"/>
  <c r="AC35" i="1"/>
  <c r="AB35" i="1"/>
  <c r="AA35" i="1"/>
  <c r="AD34" i="1"/>
  <c r="AC34" i="1"/>
  <c r="AB34" i="1"/>
  <c r="AA34" i="1"/>
  <c r="AD32" i="1"/>
  <c r="AC32" i="1"/>
  <c r="AB32" i="1"/>
  <c r="AA32" i="1"/>
  <c r="AD31" i="1"/>
  <c r="AC31" i="1"/>
  <c r="AB31" i="1"/>
  <c r="AA31" i="1"/>
  <c r="AD29" i="1"/>
  <c r="AC29" i="1"/>
  <c r="AB29" i="1"/>
  <c r="AA29" i="1"/>
  <c r="AD28" i="1"/>
  <c r="AC28" i="1"/>
  <c r="AB28" i="1"/>
  <c r="AA28" i="1"/>
  <c r="AD27" i="1"/>
  <c r="AC27" i="1"/>
  <c r="AB27" i="1"/>
  <c r="AA27" i="1"/>
  <c r="AD26" i="1"/>
  <c r="AC26" i="1"/>
  <c r="AB26" i="1"/>
  <c r="AA26" i="1"/>
  <c r="AD25" i="1"/>
  <c r="AC25" i="1"/>
  <c r="AB25" i="1"/>
  <c r="AA25" i="1"/>
  <c r="AD24" i="1"/>
  <c r="AC24" i="1"/>
  <c r="AB24" i="1"/>
  <c r="AA24" i="1"/>
  <c r="AD23" i="1"/>
  <c r="AC23" i="1"/>
  <c r="AB23" i="1"/>
  <c r="AA23" i="1"/>
  <c r="AD22" i="1"/>
  <c r="AC22" i="1"/>
  <c r="AB22" i="1"/>
  <c r="AA22" i="1"/>
  <c r="AD21" i="1"/>
  <c r="Z21" i="1" s="1"/>
  <c r="AC21" i="1"/>
  <c r="AB21" i="1"/>
  <c r="AA21" i="1"/>
  <c r="AD20" i="1"/>
  <c r="AC20" i="1"/>
  <c r="AB20" i="1"/>
  <c r="AA20" i="1"/>
  <c r="AD19" i="1"/>
  <c r="AC19" i="1"/>
  <c r="AB19" i="1"/>
  <c r="AA19" i="1"/>
  <c r="AD18" i="1"/>
  <c r="AC18" i="1"/>
  <c r="AB18" i="1"/>
  <c r="AA18" i="1"/>
  <c r="AD17" i="1"/>
  <c r="AC17" i="1"/>
  <c r="AB17" i="1"/>
  <c r="AA17" i="1"/>
  <c r="F17" i="1" s="1"/>
  <c r="AD16" i="1"/>
  <c r="AC16" i="1"/>
  <c r="AB16" i="1"/>
  <c r="AA16" i="1"/>
  <c r="AD15" i="1"/>
  <c r="Z15" i="1" s="1"/>
  <c r="AC15" i="1"/>
  <c r="AB15" i="1"/>
  <c r="AA15" i="1"/>
  <c r="AD14" i="1"/>
  <c r="AC14" i="1"/>
  <c r="AB14" i="1"/>
  <c r="AA14" i="1"/>
  <c r="AD13" i="1"/>
  <c r="AC13" i="1"/>
  <c r="AB13" i="1"/>
  <c r="AA13" i="1"/>
  <c r="AD12" i="1"/>
  <c r="AC12" i="1"/>
  <c r="AB12" i="1"/>
  <c r="AA12" i="1"/>
  <c r="AD11" i="1"/>
  <c r="Z11" i="1" s="1"/>
  <c r="AC11" i="1"/>
  <c r="AB11" i="1"/>
  <c r="AA11" i="1"/>
  <c r="AD10" i="1"/>
  <c r="AC10" i="1"/>
  <c r="AB10" i="1"/>
  <c r="AA10" i="1"/>
  <c r="AD9" i="1"/>
  <c r="AC9" i="1"/>
  <c r="AB9" i="1"/>
  <c r="AA9" i="1"/>
  <c r="AD8" i="1"/>
  <c r="AC8" i="1"/>
  <c r="AB8" i="1"/>
  <c r="AA8" i="1"/>
  <c r="AD7" i="1"/>
  <c r="AC7" i="1"/>
  <c r="AB7" i="1"/>
  <c r="AA7" i="1"/>
  <c r="BW33" i="1"/>
  <c r="BV33" i="1"/>
  <c r="BW30" i="1"/>
  <c r="BV30" i="1"/>
  <c r="BW6" i="1"/>
  <c r="BV6" i="1"/>
  <c r="BB40" i="1"/>
  <c r="BA40" i="1"/>
  <c r="BB39" i="1"/>
  <c r="BA39" i="1"/>
  <c r="BB38" i="1"/>
  <c r="BA38" i="1"/>
  <c r="BB37" i="1"/>
  <c r="BA37" i="1"/>
  <c r="BB36" i="1"/>
  <c r="BA36" i="1"/>
  <c r="BB35" i="1"/>
  <c r="BA35" i="1"/>
  <c r="BB34" i="1"/>
  <c r="BA34" i="1"/>
  <c r="BB32" i="1"/>
  <c r="BA32" i="1"/>
  <c r="BB31" i="1"/>
  <c r="BA31" i="1"/>
  <c r="BF30" i="1"/>
  <c r="BE30" i="1"/>
  <c r="BD30" i="1"/>
  <c r="BC30" i="1"/>
  <c r="BB29" i="1"/>
  <c r="BA29" i="1"/>
  <c r="BB28" i="1"/>
  <c r="BA28" i="1"/>
  <c r="BB27" i="1"/>
  <c r="BA27" i="1"/>
  <c r="BB26" i="1"/>
  <c r="BA26" i="1"/>
  <c r="BB25" i="1"/>
  <c r="BA25" i="1"/>
  <c r="BB24" i="1"/>
  <c r="BA24" i="1"/>
  <c r="BB23" i="1"/>
  <c r="BA23" i="1"/>
  <c r="BB22" i="1"/>
  <c r="BA22" i="1"/>
  <c r="BB21" i="1"/>
  <c r="BA21" i="1"/>
  <c r="BB20" i="1"/>
  <c r="BA20" i="1"/>
  <c r="BB19" i="1"/>
  <c r="BA19" i="1"/>
  <c r="BB18" i="1"/>
  <c r="BA18" i="1"/>
  <c r="BB17" i="1"/>
  <c r="BA17" i="1"/>
  <c r="BB16" i="1"/>
  <c r="BA16" i="1"/>
  <c r="BB15" i="1"/>
  <c r="BA15" i="1"/>
  <c r="BB14" i="1"/>
  <c r="BA14" i="1"/>
  <c r="BB13" i="1"/>
  <c r="BA13" i="1"/>
  <c r="BB12" i="1"/>
  <c r="BA12" i="1"/>
  <c r="BB11" i="1"/>
  <c r="BA11" i="1"/>
  <c r="BB10" i="1"/>
  <c r="BA10" i="1"/>
  <c r="BB9" i="1"/>
  <c r="BA9" i="1"/>
  <c r="BB8" i="1"/>
  <c r="BA8" i="1"/>
  <c r="BB7" i="1"/>
  <c r="BA7" i="1"/>
  <c r="BF6" i="1"/>
  <c r="BE6" i="1"/>
  <c r="BD6" i="1"/>
  <c r="BC6" i="1"/>
  <c r="Z7" i="1"/>
  <c r="AH41" i="1"/>
  <c r="AJ41" i="1"/>
  <c r="AI41" i="1"/>
  <c r="AK41" i="1"/>
  <c r="AH40" i="1"/>
  <c r="AJ40" i="1"/>
  <c r="AI40" i="1"/>
  <c r="AK40" i="1"/>
  <c r="AH39" i="1"/>
  <c r="AJ39" i="1"/>
  <c r="AI39" i="1"/>
  <c r="AK39" i="1"/>
  <c r="AH38" i="1"/>
  <c r="AJ38" i="1"/>
  <c r="AI38" i="1"/>
  <c r="AK38" i="1"/>
  <c r="AH37" i="1"/>
  <c r="AJ37" i="1"/>
  <c r="AI37" i="1"/>
  <c r="AK37" i="1"/>
  <c r="AH36" i="1"/>
  <c r="AJ36" i="1"/>
  <c r="AI36" i="1"/>
  <c r="AK36" i="1"/>
  <c r="AH35" i="1"/>
  <c r="AJ35" i="1"/>
  <c r="AI35" i="1"/>
  <c r="AK35" i="1"/>
  <c r="AH34" i="1"/>
  <c r="AJ34" i="1"/>
  <c r="AI34" i="1"/>
  <c r="AK34" i="1"/>
  <c r="AK32" i="1"/>
  <c r="AJ32" i="1"/>
  <c r="AI32" i="1"/>
  <c r="AH32" i="1"/>
  <c r="AK31" i="1"/>
  <c r="AJ31" i="1"/>
  <c r="AI31" i="1"/>
  <c r="AH31" i="1"/>
  <c r="AF31" i="1" s="1"/>
  <c r="AK29" i="1"/>
  <c r="AJ29" i="1"/>
  <c r="AI29" i="1"/>
  <c r="AH29" i="1"/>
  <c r="AK28" i="1"/>
  <c r="AJ28" i="1"/>
  <c r="AI28" i="1"/>
  <c r="AH28" i="1"/>
  <c r="AK27" i="1"/>
  <c r="AJ27" i="1"/>
  <c r="AI27" i="1"/>
  <c r="AH27" i="1"/>
  <c r="AK26" i="1"/>
  <c r="AJ26" i="1"/>
  <c r="AI26" i="1"/>
  <c r="AH26" i="1"/>
  <c r="AK25" i="1"/>
  <c r="AJ25" i="1"/>
  <c r="AI25" i="1"/>
  <c r="AH25" i="1"/>
  <c r="AF25" i="1" s="1"/>
  <c r="AK24" i="1"/>
  <c r="AJ24" i="1"/>
  <c r="AI24" i="1"/>
  <c r="AH24" i="1"/>
  <c r="AK23" i="1"/>
  <c r="AJ23" i="1"/>
  <c r="AI23" i="1"/>
  <c r="AH23" i="1"/>
  <c r="AK22" i="1"/>
  <c r="AJ22" i="1"/>
  <c r="AI22" i="1"/>
  <c r="AH22" i="1"/>
  <c r="AK21" i="1"/>
  <c r="AJ21" i="1"/>
  <c r="AI21" i="1"/>
  <c r="AH21" i="1"/>
  <c r="AK20" i="1"/>
  <c r="AJ20" i="1"/>
  <c r="AI20" i="1"/>
  <c r="AH20" i="1"/>
  <c r="AK19" i="1"/>
  <c r="AJ19" i="1"/>
  <c r="AI19" i="1"/>
  <c r="AH19" i="1"/>
  <c r="AK18" i="1"/>
  <c r="AJ18" i="1"/>
  <c r="AI18" i="1"/>
  <c r="AH18" i="1"/>
  <c r="AK17" i="1"/>
  <c r="AJ17" i="1"/>
  <c r="AI17" i="1"/>
  <c r="AH17" i="1"/>
  <c r="AK16" i="1"/>
  <c r="AJ16" i="1"/>
  <c r="AI16" i="1"/>
  <c r="AH16" i="1"/>
  <c r="AK15" i="1"/>
  <c r="AJ15" i="1"/>
  <c r="AI15" i="1"/>
  <c r="AH15" i="1"/>
  <c r="AK14" i="1"/>
  <c r="AJ14" i="1"/>
  <c r="AI14" i="1"/>
  <c r="AG14" i="1" s="1"/>
  <c r="AH14" i="1"/>
  <c r="AK13" i="1"/>
  <c r="AJ13" i="1"/>
  <c r="AI13" i="1"/>
  <c r="AH13" i="1"/>
  <c r="AK12" i="1"/>
  <c r="AJ12" i="1"/>
  <c r="AI12" i="1"/>
  <c r="AH12" i="1"/>
  <c r="AK11" i="1"/>
  <c r="AJ11" i="1"/>
  <c r="AI11" i="1"/>
  <c r="AH11" i="1"/>
  <c r="AK10" i="1"/>
  <c r="AJ10" i="1"/>
  <c r="AI10" i="1"/>
  <c r="AH10" i="1"/>
  <c r="AK9" i="1"/>
  <c r="AJ9" i="1"/>
  <c r="AI9" i="1"/>
  <c r="AH9" i="1"/>
  <c r="AK8" i="1"/>
  <c r="AJ8" i="1"/>
  <c r="AI8" i="1"/>
  <c r="AH8" i="1"/>
  <c r="AK7" i="1"/>
  <c r="AJ7" i="1"/>
  <c r="AI7" i="1"/>
  <c r="AH7" i="1"/>
  <c r="BY33" i="1"/>
  <c r="BX33" i="1"/>
  <c r="BY30" i="1"/>
  <c r="BX30" i="1"/>
  <c r="BY6" i="1"/>
  <c r="BX6" i="1"/>
  <c r="BH41" i="1"/>
  <c r="BG41" i="1"/>
  <c r="BH40" i="1"/>
  <c r="BG40" i="1"/>
  <c r="BH39" i="1"/>
  <c r="BG39" i="1"/>
  <c r="BH38" i="1"/>
  <c r="BG38" i="1"/>
  <c r="BH37" i="1"/>
  <c r="BG37" i="1"/>
  <c r="BH36" i="1"/>
  <c r="BG36" i="1"/>
  <c r="BH35" i="1"/>
  <c r="BG35" i="1"/>
  <c r="BH34" i="1"/>
  <c r="BG34" i="1"/>
  <c r="BL33" i="1"/>
  <c r="BK33" i="1"/>
  <c r="BJ33" i="1"/>
  <c r="BI33" i="1"/>
  <c r="BH32" i="1"/>
  <c r="BG32" i="1"/>
  <c r="BH31" i="1"/>
  <c r="BG31" i="1"/>
  <c r="BL30" i="1"/>
  <c r="BK30" i="1"/>
  <c r="BJ30" i="1"/>
  <c r="BI30" i="1"/>
  <c r="BH29" i="1"/>
  <c r="BG29" i="1"/>
  <c r="BH28" i="1"/>
  <c r="BG28" i="1"/>
  <c r="BH27" i="1"/>
  <c r="BG27" i="1"/>
  <c r="BH26" i="1"/>
  <c r="BG26" i="1"/>
  <c r="BH25" i="1"/>
  <c r="BG25" i="1"/>
  <c r="BH24" i="1"/>
  <c r="BG24" i="1"/>
  <c r="BH23" i="1"/>
  <c r="BG23" i="1"/>
  <c r="BH22" i="1"/>
  <c r="BG22" i="1"/>
  <c r="BH21" i="1"/>
  <c r="BG21" i="1"/>
  <c r="BH20" i="1"/>
  <c r="BG20" i="1"/>
  <c r="BH19" i="1"/>
  <c r="BG19" i="1"/>
  <c r="BH18" i="1"/>
  <c r="BG18" i="1"/>
  <c r="BH17" i="1"/>
  <c r="BG17" i="1"/>
  <c r="BH16" i="1"/>
  <c r="BG16" i="1"/>
  <c r="BH15" i="1"/>
  <c r="BG15" i="1"/>
  <c r="BH14" i="1"/>
  <c r="BG14" i="1"/>
  <c r="BH13" i="1"/>
  <c r="BG13" i="1"/>
  <c r="BH12" i="1"/>
  <c r="BG12" i="1"/>
  <c r="BH11" i="1"/>
  <c r="BG11" i="1"/>
  <c r="BH10" i="1"/>
  <c r="BG10" i="1"/>
  <c r="BH9" i="1"/>
  <c r="BG9" i="1"/>
  <c r="BH8" i="1"/>
  <c r="BG8" i="1"/>
  <c r="BH7" i="1"/>
  <c r="BG7" i="1"/>
  <c r="BL6" i="1"/>
  <c r="BK6" i="1"/>
  <c r="BJ6" i="1"/>
  <c r="BI6" i="1"/>
  <c r="AQ41" i="1"/>
  <c r="AR41" i="1"/>
  <c r="AO41" i="1"/>
  <c r="AM41" i="1" s="1"/>
  <c r="AP41" i="1"/>
  <c r="AQ40" i="1"/>
  <c r="AR40" i="1"/>
  <c r="AO40" i="1"/>
  <c r="AP40" i="1"/>
  <c r="AQ39" i="1"/>
  <c r="AR39" i="1"/>
  <c r="AO39" i="1"/>
  <c r="AP39" i="1"/>
  <c r="AQ38" i="1"/>
  <c r="AR38" i="1"/>
  <c r="AO38" i="1"/>
  <c r="AM38" i="1" s="1"/>
  <c r="AP38" i="1"/>
  <c r="AQ37" i="1"/>
  <c r="AR37" i="1"/>
  <c r="AO37" i="1"/>
  <c r="AP37" i="1"/>
  <c r="AQ36" i="1"/>
  <c r="AR36" i="1"/>
  <c r="AO36" i="1"/>
  <c r="AM36" i="1" s="1"/>
  <c r="AP36" i="1"/>
  <c r="AQ35" i="1"/>
  <c r="AR35" i="1"/>
  <c r="AO35" i="1"/>
  <c r="AP35" i="1"/>
  <c r="AQ34" i="1"/>
  <c r="AR34" i="1"/>
  <c r="AO34" i="1"/>
  <c r="AM34" i="1" s="1"/>
  <c r="AP34" i="1"/>
  <c r="AQ32" i="1"/>
  <c r="AR32" i="1"/>
  <c r="AO32" i="1"/>
  <c r="AP32" i="1"/>
  <c r="AQ31" i="1"/>
  <c r="AR31" i="1"/>
  <c r="AO31" i="1"/>
  <c r="AP31" i="1"/>
  <c r="AQ29" i="1"/>
  <c r="AR29" i="1"/>
  <c r="AO29" i="1"/>
  <c r="AM29" i="1" s="1"/>
  <c r="AP29" i="1"/>
  <c r="J29" i="1" s="1"/>
  <c r="AQ28" i="1"/>
  <c r="AR28" i="1"/>
  <c r="AO28" i="1"/>
  <c r="AP28" i="1"/>
  <c r="AQ27" i="1"/>
  <c r="AR27" i="1"/>
  <c r="AO27" i="1"/>
  <c r="AP27" i="1"/>
  <c r="J27" i="1" s="1"/>
  <c r="AQ26" i="1"/>
  <c r="AR26" i="1"/>
  <c r="AO26" i="1"/>
  <c r="AM26" i="1" s="1"/>
  <c r="AP26" i="1"/>
  <c r="AQ25" i="1"/>
  <c r="AR25" i="1"/>
  <c r="AO25" i="1"/>
  <c r="AP25" i="1"/>
  <c r="J25" i="1" s="1"/>
  <c r="AQ24" i="1"/>
  <c r="AR24" i="1"/>
  <c r="AO24" i="1"/>
  <c r="AM24" i="1" s="1"/>
  <c r="AP24" i="1"/>
  <c r="AQ23" i="1"/>
  <c r="AR23" i="1"/>
  <c r="AO23" i="1"/>
  <c r="AP23" i="1"/>
  <c r="AQ22" i="1"/>
  <c r="AR22" i="1"/>
  <c r="AO22" i="1"/>
  <c r="AM22" i="1" s="1"/>
  <c r="AP22" i="1"/>
  <c r="AQ21" i="1"/>
  <c r="AR21" i="1"/>
  <c r="AO21" i="1"/>
  <c r="AP21" i="1"/>
  <c r="AN21" i="1" s="1"/>
  <c r="AQ20" i="1"/>
  <c r="AR20" i="1"/>
  <c r="AO20" i="1"/>
  <c r="AM20" i="1" s="1"/>
  <c r="AP20" i="1"/>
  <c r="AQ19" i="1"/>
  <c r="AR19" i="1"/>
  <c r="AO19" i="1"/>
  <c r="AP19" i="1"/>
  <c r="AQ18" i="1"/>
  <c r="AR18" i="1"/>
  <c r="AO18" i="1"/>
  <c r="AP18" i="1"/>
  <c r="AQ17" i="1"/>
  <c r="AR17" i="1"/>
  <c r="AO17" i="1"/>
  <c r="AP17" i="1"/>
  <c r="AQ16" i="1"/>
  <c r="AR16" i="1"/>
  <c r="AO16" i="1"/>
  <c r="AM16" i="1" s="1"/>
  <c r="AP16" i="1"/>
  <c r="AQ15" i="1"/>
  <c r="AR15" i="1"/>
  <c r="AO15" i="1"/>
  <c r="AM15" i="1" s="1"/>
  <c r="AP15" i="1"/>
  <c r="AQ14" i="1"/>
  <c r="AR14" i="1"/>
  <c r="AO14" i="1"/>
  <c r="AM14" i="1" s="1"/>
  <c r="AP14" i="1"/>
  <c r="AQ13" i="1"/>
  <c r="AR13" i="1"/>
  <c r="AO13" i="1"/>
  <c r="AP13" i="1"/>
  <c r="J13" i="1" s="1"/>
  <c r="AQ12" i="1"/>
  <c r="AR12" i="1"/>
  <c r="AO12" i="1"/>
  <c r="AM12" i="1" s="1"/>
  <c r="AP12" i="1"/>
  <c r="AQ11" i="1"/>
  <c r="AR11" i="1"/>
  <c r="AO11" i="1"/>
  <c r="AP11" i="1"/>
  <c r="AQ10" i="1"/>
  <c r="AR10" i="1"/>
  <c r="AO10" i="1"/>
  <c r="AP10" i="1"/>
  <c r="AQ9" i="1"/>
  <c r="AR9" i="1"/>
  <c r="AO9" i="1"/>
  <c r="AP9" i="1"/>
  <c r="AQ8" i="1"/>
  <c r="AR8" i="1"/>
  <c r="AO8" i="1"/>
  <c r="AP8" i="1"/>
  <c r="AQ7" i="1"/>
  <c r="AR7" i="1"/>
  <c r="AO7" i="1"/>
  <c r="AP7" i="1"/>
  <c r="CA33" i="1"/>
  <c r="BZ33" i="1"/>
  <c r="CA30" i="1"/>
  <c r="BZ30" i="1"/>
  <c r="CA6" i="1"/>
  <c r="BZ6" i="1"/>
  <c r="BN41" i="1"/>
  <c r="BM41" i="1"/>
  <c r="BN40" i="1"/>
  <c r="BM40" i="1"/>
  <c r="BN39" i="1"/>
  <c r="BM39" i="1"/>
  <c r="BN38" i="1"/>
  <c r="BM38" i="1"/>
  <c r="BN37" i="1"/>
  <c r="BM37" i="1"/>
  <c r="BN36" i="1"/>
  <c r="BM36" i="1"/>
  <c r="BN35" i="1"/>
  <c r="BM35" i="1"/>
  <c r="BN34" i="1"/>
  <c r="BM34" i="1"/>
  <c r="BR33" i="1"/>
  <c r="BQ33" i="1"/>
  <c r="BP33" i="1"/>
  <c r="BO33" i="1"/>
  <c r="BN32" i="1"/>
  <c r="BM32" i="1"/>
  <c r="BN31" i="1"/>
  <c r="BM31" i="1"/>
  <c r="BR30" i="1"/>
  <c r="BQ30" i="1"/>
  <c r="BP30" i="1"/>
  <c r="BO30" i="1"/>
  <c r="BN29" i="1"/>
  <c r="BM29" i="1"/>
  <c r="BN28" i="1"/>
  <c r="BM28" i="1"/>
  <c r="BN27" i="1"/>
  <c r="BM27" i="1"/>
  <c r="BN26" i="1"/>
  <c r="BM26" i="1"/>
  <c r="BN25" i="1"/>
  <c r="BM25" i="1"/>
  <c r="BN24" i="1"/>
  <c r="BM24" i="1"/>
  <c r="BN23" i="1"/>
  <c r="BM23" i="1"/>
  <c r="BN22" i="1"/>
  <c r="BM22" i="1"/>
  <c r="BN21" i="1"/>
  <c r="BM21" i="1"/>
  <c r="BN20" i="1"/>
  <c r="BM20" i="1"/>
  <c r="BN19" i="1"/>
  <c r="BM19" i="1"/>
  <c r="BN18" i="1"/>
  <c r="BM18" i="1"/>
  <c r="BN17" i="1"/>
  <c r="BM17" i="1"/>
  <c r="BN16" i="1"/>
  <c r="BM16" i="1"/>
  <c r="BN15" i="1"/>
  <c r="BM15" i="1"/>
  <c r="BN14" i="1"/>
  <c r="BM14" i="1"/>
  <c r="BN13" i="1"/>
  <c r="BM13" i="1"/>
  <c r="BN12" i="1"/>
  <c r="BM12" i="1"/>
  <c r="BN11" i="1"/>
  <c r="BM11" i="1"/>
  <c r="BN10" i="1"/>
  <c r="BM10" i="1"/>
  <c r="BN9" i="1"/>
  <c r="BM9" i="1"/>
  <c r="BN8" i="1"/>
  <c r="BM8" i="1"/>
  <c r="BN7" i="1"/>
  <c r="BM7" i="1"/>
  <c r="BR6" i="1"/>
  <c r="BQ6" i="1"/>
  <c r="BP6" i="1"/>
  <c r="BO6" i="1"/>
  <c r="AM27" i="1"/>
  <c r="Z23" i="1" l="1"/>
  <c r="AG22" i="1"/>
  <c r="Z9" i="1"/>
  <c r="Z19" i="1"/>
  <c r="AY33" i="1"/>
  <c r="Z13" i="1"/>
  <c r="AB6" i="10"/>
  <c r="AM39" i="1"/>
  <c r="D29" i="11"/>
  <c r="Z17" i="1"/>
  <c r="S8" i="1"/>
  <c r="S18" i="1"/>
  <c r="S40" i="1"/>
  <c r="Q40" i="1" s="1"/>
  <c r="AN14" i="1"/>
  <c r="AL14" i="1" s="1"/>
  <c r="Y12" i="1"/>
  <c r="X12" i="1" s="1"/>
  <c r="AM28" i="1"/>
  <c r="AM40" i="1"/>
  <c r="BB30" i="1"/>
  <c r="R13" i="1"/>
  <c r="AN6" i="8"/>
  <c r="AB6" i="1"/>
  <c r="G28" i="1"/>
  <c r="Y29" i="1"/>
  <c r="Y32" i="1"/>
  <c r="Y35" i="1"/>
  <c r="Y37" i="1"/>
  <c r="Y39" i="1"/>
  <c r="Z12" i="1"/>
  <c r="Z24" i="1"/>
  <c r="AG17" i="1"/>
  <c r="AG19" i="1"/>
  <c r="AG21" i="1"/>
  <c r="AG25" i="1"/>
  <c r="AE25" i="1" s="1"/>
  <c r="Z25" i="1"/>
  <c r="Z27" i="1"/>
  <c r="R24" i="1"/>
  <c r="Q24" i="1" s="1"/>
  <c r="R31" i="1"/>
  <c r="Q31" i="1" s="1"/>
  <c r="R34" i="1"/>
  <c r="R36" i="1"/>
  <c r="R38" i="1"/>
  <c r="Q38" i="1" s="1"/>
  <c r="R40" i="1"/>
  <c r="AF9" i="1"/>
  <c r="Y16" i="1"/>
  <c r="Y20" i="1"/>
  <c r="Y24" i="1"/>
  <c r="AA30" i="1"/>
  <c r="S17" i="1"/>
  <c r="S21" i="1"/>
  <c r="AP29" i="12"/>
  <c r="AN29" i="12" s="1"/>
  <c r="Y11" i="1"/>
  <c r="X11" i="1" s="1"/>
  <c r="Y15" i="1"/>
  <c r="X15" i="1" s="1"/>
  <c r="Y19" i="1"/>
  <c r="X19" i="1" s="1"/>
  <c r="Y23" i="1"/>
  <c r="X23" i="1" s="1"/>
  <c r="Y25" i="1"/>
  <c r="Y27" i="1"/>
  <c r="AB29" i="8"/>
  <c r="I21" i="1"/>
  <c r="AG27" i="1"/>
  <c r="E10" i="1"/>
  <c r="AN29" i="11"/>
  <c r="AB6" i="12"/>
  <c r="AB6" i="11"/>
  <c r="BD33" i="1"/>
  <c r="AN25" i="1"/>
  <c r="AF10" i="1"/>
  <c r="AJ30" i="1"/>
  <c r="Z32" i="1"/>
  <c r="X32" i="1" s="1"/>
  <c r="AI30" i="1"/>
  <c r="AN29" i="1"/>
  <c r="AF14" i="1"/>
  <c r="AE14" i="1" s="1"/>
  <c r="AF18" i="1"/>
  <c r="AF22" i="1"/>
  <c r="AE22" i="1" s="1"/>
  <c r="Y28" i="1"/>
  <c r="AW5" i="1"/>
  <c r="AM9" i="1"/>
  <c r="AL9" i="1" s="1"/>
  <c r="AM17" i="1"/>
  <c r="AM23" i="1"/>
  <c r="AM25" i="1"/>
  <c r="AM32" i="1"/>
  <c r="AM35" i="1"/>
  <c r="AL35" i="1" s="1"/>
  <c r="AM37" i="1"/>
  <c r="Z16" i="1"/>
  <c r="Z20" i="1"/>
  <c r="X20" i="1" s="1"/>
  <c r="Z26" i="1"/>
  <c r="Z28" i="1"/>
  <c r="Y34" i="1"/>
  <c r="S11" i="1"/>
  <c r="Q11" i="1" s="1"/>
  <c r="S15" i="1"/>
  <c r="Q15" i="1" s="1"/>
  <c r="S19" i="1"/>
  <c r="S23" i="1"/>
  <c r="Q23" i="1" s="1"/>
  <c r="S25" i="1"/>
  <c r="S27" i="1"/>
  <c r="S29" i="1"/>
  <c r="S32" i="1"/>
  <c r="Q32" i="1" s="1"/>
  <c r="S35" i="1"/>
  <c r="S37" i="1"/>
  <c r="Q37" i="1" s="1"/>
  <c r="S39" i="1"/>
  <c r="AQ29" i="3"/>
  <c r="AF26" i="1"/>
  <c r="BV5" i="1"/>
  <c r="Z29" i="1"/>
  <c r="AN8" i="1"/>
  <c r="AN12" i="1"/>
  <c r="J14" i="1"/>
  <c r="AN16" i="1"/>
  <c r="AL16" i="1" s="1"/>
  <c r="AN18" i="1"/>
  <c r="AN20" i="1"/>
  <c r="AL20" i="1" s="1"/>
  <c r="AN22" i="1"/>
  <c r="AN24" i="1"/>
  <c r="AL24" i="1" s="1"/>
  <c r="J26" i="1"/>
  <c r="J28" i="1"/>
  <c r="AP30" i="1"/>
  <c r="AN34" i="1"/>
  <c r="AN36" i="1"/>
  <c r="AL36" i="1" s="1"/>
  <c r="AN38" i="1"/>
  <c r="AN40" i="1"/>
  <c r="AF19" i="1"/>
  <c r="AF21" i="1"/>
  <c r="H27" i="1"/>
  <c r="AF29" i="1"/>
  <c r="G24" i="1"/>
  <c r="AB30" i="1"/>
  <c r="Z34" i="1"/>
  <c r="Z36" i="1"/>
  <c r="Z38" i="1"/>
  <c r="X38" i="1" s="1"/>
  <c r="Z40" i="1"/>
  <c r="AZ33" i="1"/>
  <c r="AN6" i="10"/>
  <c r="P6" i="11"/>
  <c r="P29" i="10"/>
  <c r="P6" i="8"/>
  <c r="P6" i="3"/>
  <c r="AG26" i="1"/>
  <c r="AE26" i="1" s="1"/>
  <c r="R25" i="1"/>
  <c r="Y8" i="1"/>
  <c r="Y10" i="1"/>
  <c r="Y14" i="1"/>
  <c r="Y18" i="1"/>
  <c r="Y22" i="1"/>
  <c r="Y26" i="1"/>
  <c r="X26" i="1" s="1"/>
  <c r="K10" i="1"/>
  <c r="K16" i="1"/>
  <c r="K20" i="1"/>
  <c r="K22" i="1"/>
  <c r="K38" i="1"/>
  <c r="BG6" i="1"/>
  <c r="AF13" i="1"/>
  <c r="AF15" i="1"/>
  <c r="AF17" i="1"/>
  <c r="AG23" i="1"/>
  <c r="AG29" i="1"/>
  <c r="I41" i="1"/>
  <c r="Z10" i="1"/>
  <c r="Z14" i="1"/>
  <c r="Z18" i="1"/>
  <c r="Z22" i="1"/>
  <c r="Y31" i="1"/>
  <c r="Y36" i="1"/>
  <c r="Y40" i="1"/>
  <c r="S36" i="1"/>
  <c r="Q36" i="1" s="1"/>
  <c r="R8" i="1"/>
  <c r="R10" i="1"/>
  <c r="Q10" i="1" s="1"/>
  <c r="R12" i="1"/>
  <c r="Q12" i="1" s="1"/>
  <c r="R14" i="1"/>
  <c r="Q14" i="1" s="1"/>
  <c r="R18" i="1"/>
  <c r="R22" i="1"/>
  <c r="Q22" i="1" s="1"/>
  <c r="R26" i="1"/>
  <c r="R23" i="1"/>
  <c r="R35" i="1"/>
  <c r="AG31" i="1"/>
  <c r="AE31" i="1" s="1"/>
  <c r="E12" i="1"/>
  <c r="E14" i="1"/>
  <c r="E18" i="1"/>
  <c r="E20" i="1"/>
  <c r="E26" i="1"/>
  <c r="S34" i="1"/>
  <c r="R29" i="1"/>
  <c r="R39" i="1"/>
  <c r="Q39" i="1" s="1"/>
  <c r="AL38" i="1"/>
  <c r="BM6" i="1"/>
  <c r="BM5" i="1" s="1"/>
  <c r="AN9" i="1"/>
  <c r="AN23" i="1"/>
  <c r="AN32" i="1"/>
  <c r="AN35" i="1"/>
  <c r="AN37" i="1"/>
  <c r="AL37" i="1" s="1"/>
  <c r="AN39" i="1"/>
  <c r="AL39" i="1" s="1"/>
  <c r="AN41" i="1"/>
  <c r="AL41" i="1" s="1"/>
  <c r="I25" i="1"/>
  <c r="BF5" i="1"/>
  <c r="AU6" i="1"/>
  <c r="AM11" i="1"/>
  <c r="AM13" i="1"/>
  <c r="AM19" i="1"/>
  <c r="AG10" i="1"/>
  <c r="BE33" i="1"/>
  <c r="Y9" i="1"/>
  <c r="Y13" i="1"/>
  <c r="X13" i="1" s="1"/>
  <c r="Y17" i="1"/>
  <c r="X17" i="1" s="1"/>
  <c r="Y21" i="1"/>
  <c r="X21" i="1" s="1"/>
  <c r="Z35" i="1"/>
  <c r="Z37" i="1"/>
  <c r="Z39" i="1"/>
  <c r="AU30" i="1"/>
  <c r="S7" i="1"/>
  <c r="AN6" i="11"/>
  <c r="AB29" i="10"/>
  <c r="D6" i="10"/>
  <c r="D29" i="10"/>
  <c r="AN29" i="8"/>
  <c r="D6" i="8"/>
  <c r="AB38" i="3"/>
  <c r="D38" i="3"/>
  <c r="D6" i="12"/>
  <c r="P6" i="12"/>
  <c r="J31" i="1"/>
  <c r="G12" i="1"/>
  <c r="P6" i="10"/>
  <c r="AM31" i="1"/>
  <c r="BH33" i="1"/>
  <c r="BY5" i="1"/>
  <c r="AG7" i="1"/>
  <c r="I9" i="1"/>
  <c r="AG13" i="1"/>
  <c r="BA6" i="1"/>
  <c r="BB41" i="1"/>
  <c r="BB33" i="1" s="1"/>
  <c r="AN26" i="1"/>
  <c r="AL26" i="1" s="1"/>
  <c r="AN31" i="1"/>
  <c r="AN30" i="1" s="1"/>
  <c r="BR5" i="1"/>
  <c r="AQ30" i="1"/>
  <c r="BI5" i="1"/>
  <c r="BB6" i="1"/>
  <c r="BF33" i="1"/>
  <c r="F15" i="1"/>
  <c r="S28" i="1"/>
  <c r="Q28" i="1" s="1"/>
  <c r="AW33" i="1"/>
  <c r="E24" i="1"/>
  <c r="P38" i="3"/>
  <c r="AF27" i="1"/>
  <c r="AG39" i="1"/>
  <c r="E38" i="1"/>
  <c r="K15" i="1"/>
  <c r="K17" i="1"/>
  <c r="K23" i="1"/>
  <c r="K32" i="1"/>
  <c r="K35" i="1"/>
  <c r="K37" i="1"/>
  <c r="K41" i="1"/>
  <c r="BL5" i="1"/>
  <c r="I35" i="1"/>
  <c r="AF41" i="1"/>
  <c r="Z31" i="1"/>
  <c r="BC5" i="1"/>
  <c r="BA30" i="1"/>
  <c r="G37" i="1"/>
  <c r="E11" i="1"/>
  <c r="E19" i="1"/>
  <c r="D32" i="1"/>
  <c r="D35" i="1"/>
  <c r="D37" i="1"/>
  <c r="D39" i="1"/>
  <c r="AN38" i="3"/>
  <c r="P29" i="8"/>
  <c r="H25" i="1"/>
  <c r="AG38" i="1"/>
  <c r="AE38" i="1" s="1"/>
  <c r="AN27" i="1"/>
  <c r="AL27" i="1" s="1"/>
  <c r="H22" i="1"/>
  <c r="AU41" i="1"/>
  <c r="AU33" i="1" s="1"/>
  <c r="V30" i="1"/>
  <c r="D6" i="11"/>
  <c r="AN28" i="1"/>
  <c r="AM7" i="1"/>
  <c r="H11" i="1"/>
  <c r="H15" i="1"/>
  <c r="H19" i="1"/>
  <c r="BD5" i="1"/>
  <c r="BU5" i="1"/>
  <c r="J29" i="3"/>
  <c r="D29" i="8"/>
  <c r="AB29" i="11"/>
  <c r="P29" i="3"/>
  <c r="D29" i="12"/>
  <c r="AN6" i="12"/>
  <c r="AB38" i="12"/>
  <c r="AD29" i="12"/>
  <c r="AB29" i="12" s="1"/>
  <c r="R29" i="12"/>
  <c r="P29" i="12" s="1"/>
  <c r="AN29" i="3"/>
  <c r="AB29" i="3"/>
  <c r="AN6" i="3"/>
  <c r="AB6" i="3"/>
  <c r="AN29" i="10"/>
  <c r="AL29" i="1"/>
  <c r="J9" i="1"/>
  <c r="AM10" i="1"/>
  <c r="AN11" i="1"/>
  <c r="AO30" i="1"/>
  <c r="J30" i="1" s="1"/>
  <c r="H9" i="1"/>
  <c r="AH6" i="1"/>
  <c r="X9" i="1"/>
  <c r="BE5" i="1"/>
  <c r="F11" i="1"/>
  <c r="F12" i="1"/>
  <c r="F21" i="1"/>
  <c r="F40" i="1"/>
  <c r="Q17" i="1"/>
  <c r="AV6" i="1"/>
  <c r="T6" i="1"/>
  <c r="D10" i="1"/>
  <c r="D12" i="1"/>
  <c r="D16" i="1"/>
  <c r="D17" i="1"/>
  <c r="D20" i="1"/>
  <c r="D22" i="1"/>
  <c r="E28" i="1"/>
  <c r="E36" i="1"/>
  <c r="E37" i="1"/>
  <c r="K24" i="1"/>
  <c r="I15" i="1"/>
  <c r="I16" i="1"/>
  <c r="I17" i="1"/>
  <c r="AF34" i="1"/>
  <c r="G16" i="1"/>
  <c r="G17" i="1"/>
  <c r="G18" i="1"/>
  <c r="G20" i="1"/>
  <c r="G21" i="1"/>
  <c r="G22" i="1"/>
  <c r="Q26" i="1"/>
  <c r="AE17" i="1"/>
  <c r="AU5" i="1"/>
  <c r="D40" i="1"/>
  <c r="AN10" i="1"/>
  <c r="BQ5" i="1"/>
  <c r="BM30" i="1"/>
  <c r="BM33" i="1"/>
  <c r="BZ5" i="1"/>
  <c r="AN7" i="1"/>
  <c r="K8" i="1"/>
  <c r="K9" i="1"/>
  <c r="AM18" i="1"/>
  <c r="J40" i="1"/>
  <c r="J41" i="1"/>
  <c r="AJ6" i="1"/>
  <c r="I29" i="1"/>
  <c r="I39" i="1"/>
  <c r="BW5" i="1"/>
  <c r="AC6" i="1"/>
  <c r="G8" i="1"/>
  <c r="F16" i="1"/>
  <c r="F27" i="1"/>
  <c r="F28" i="1"/>
  <c r="G32" i="1"/>
  <c r="G35" i="1"/>
  <c r="Q20" i="1"/>
  <c r="AY5" i="1"/>
  <c r="BT5" i="1"/>
  <c r="E7" i="1"/>
  <c r="E8" i="1"/>
  <c r="BO5" i="1"/>
  <c r="CA5" i="1"/>
  <c r="K7" i="1"/>
  <c r="AM8" i="1"/>
  <c r="AQ33" i="1"/>
  <c r="K39" i="1"/>
  <c r="BJ5" i="1"/>
  <c r="BX5" i="1"/>
  <c r="I7" i="1"/>
  <c r="I8" i="1"/>
  <c r="I13" i="1"/>
  <c r="H14" i="1"/>
  <c r="H17" i="1"/>
  <c r="I23" i="1"/>
  <c r="I24" i="1"/>
  <c r="AF32" i="1"/>
  <c r="AF30" i="1" s="1"/>
  <c r="AG34" i="1"/>
  <c r="AF35" i="1"/>
  <c r="AF36" i="1"/>
  <c r="AF37" i="1"/>
  <c r="AF38" i="1"/>
  <c r="G9" i="1"/>
  <c r="G10" i="1"/>
  <c r="F19" i="1"/>
  <c r="F20" i="1"/>
  <c r="G25" i="1"/>
  <c r="G26" i="1"/>
  <c r="F31" i="1"/>
  <c r="F32" i="1"/>
  <c r="G38" i="1"/>
  <c r="G39" i="1"/>
  <c r="Z41" i="1"/>
  <c r="Q7" i="1"/>
  <c r="Q16" i="1"/>
  <c r="AZ5" i="1"/>
  <c r="AX5" i="1"/>
  <c r="D18" i="1"/>
  <c r="W30" i="1"/>
  <c r="E30" i="1" s="1"/>
  <c r="H10" i="1"/>
  <c r="H13" i="1"/>
  <c r="I19" i="1"/>
  <c r="I20" i="1"/>
  <c r="H26" i="1"/>
  <c r="H29" i="1"/>
  <c r="I31" i="1"/>
  <c r="I32" i="1"/>
  <c r="AD33" i="1"/>
  <c r="Q21" i="1"/>
  <c r="D14" i="1"/>
  <c r="AL12" i="1"/>
  <c r="J15" i="1"/>
  <c r="J17" i="1"/>
  <c r="J19" i="1"/>
  <c r="J20" i="1"/>
  <c r="J21" i="1"/>
  <c r="J22" i="1"/>
  <c r="F13" i="1"/>
  <c r="F29" i="1"/>
  <c r="AN13" i="1"/>
  <c r="AN15" i="1"/>
  <c r="AL15" i="1" s="1"/>
  <c r="AN17" i="1"/>
  <c r="J7" i="1"/>
  <c r="K14" i="1"/>
  <c r="K18" i="1"/>
  <c r="AM21" i="1"/>
  <c r="AL21" i="1" s="1"/>
  <c r="K26" i="1"/>
  <c r="K28" i="1"/>
  <c r="K29" i="1"/>
  <c r="J32" i="1"/>
  <c r="J35" i="1"/>
  <c r="J36" i="1"/>
  <c r="J37" i="1"/>
  <c r="J38" i="1"/>
  <c r="AG9" i="1"/>
  <c r="AE19" i="1"/>
  <c r="BK5" i="1"/>
  <c r="BG30" i="1"/>
  <c r="AF7" i="1"/>
  <c r="I11" i="1"/>
  <c r="I12" i="1"/>
  <c r="H18" i="1"/>
  <c r="H21" i="1"/>
  <c r="AF23" i="1"/>
  <c r="I27" i="1"/>
  <c r="I28" i="1"/>
  <c r="H31" i="1"/>
  <c r="AG35" i="1"/>
  <c r="I36" i="1"/>
  <c r="I37" i="1"/>
  <c r="AF39" i="1"/>
  <c r="AF40" i="1"/>
  <c r="X24" i="1"/>
  <c r="F7" i="1"/>
  <c r="F8" i="1"/>
  <c r="F9" i="1"/>
  <c r="G13" i="1"/>
  <c r="G14" i="1"/>
  <c r="F23" i="1"/>
  <c r="F24" i="1"/>
  <c r="F25" i="1"/>
  <c r="G29" i="1"/>
  <c r="AC30" i="1"/>
  <c r="F36" i="1"/>
  <c r="F37" i="1"/>
  <c r="F38" i="1"/>
  <c r="G41" i="1"/>
  <c r="D8" i="1"/>
  <c r="E15" i="1"/>
  <c r="E16" i="1"/>
  <c r="D24" i="1"/>
  <c r="D26" i="1"/>
  <c r="E40" i="1"/>
  <c r="R41" i="1"/>
  <c r="E41" i="1"/>
  <c r="W33" i="1"/>
  <c r="AL22" i="1"/>
  <c r="BN30" i="1"/>
  <c r="BN33" i="1"/>
  <c r="AQ6" i="1"/>
  <c r="AO6" i="1"/>
  <c r="AO33" i="1"/>
  <c r="AF11" i="1"/>
  <c r="AG15" i="1"/>
  <c r="BH30" i="1"/>
  <c r="BG33" i="1"/>
  <c r="AI6" i="1"/>
  <c r="AF8" i="1"/>
  <c r="AF12" i="1"/>
  <c r="AF16" i="1"/>
  <c r="AF20" i="1"/>
  <c r="AF24" i="1"/>
  <c r="AF28" i="1"/>
  <c r="AK30" i="1"/>
  <c r="I30" i="1" s="1"/>
  <c r="H32" i="1"/>
  <c r="AJ33" i="1"/>
  <c r="AG36" i="1"/>
  <c r="AG37" i="1"/>
  <c r="I40" i="1"/>
  <c r="G7" i="1"/>
  <c r="F10" i="1"/>
  <c r="G11" i="1"/>
  <c r="F14" i="1"/>
  <c r="G15" i="1"/>
  <c r="F18" i="1"/>
  <c r="G19" i="1"/>
  <c r="F22" i="1"/>
  <c r="G23" i="1"/>
  <c r="F26" i="1"/>
  <c r="G27" i="1"/>
  <c r="G31" i="1"/>
  <c r="AC33" i="1"/>
  <c r="G33" i="1" s="1"/>
  <c r="F35" i="1"/>
  <c r="G36" i="1"/>
  <c r="F39" i="1"/>
  <c r="G40" i="1"/>
  <c r="S9" i="1"/>
  <c r="Q9" i="1" s="1"/>
  <c r="S13" i="1"/>
  <c r="D21" i="1"/>
  <c r="E23" i="1"/>
  <c r="D25" i="1"/>
  <c r="E27" i="1"/>
  <c r="D29" i="1"/>
  <c r="U30" i="1"/>
  <c r="T33" i="1"/>
  <c r="AV41" i="1"/>
  <c r="AV33" i="1" s="1"/>
  <c r="AB33" i="1"/>
  <c r="J11" i="1"/>
  <c r="J18" i="1"/>
  <c r="K21" i="1"/>
  <c r="K27" i="1"/>
  <c r="K36" i="1"/>
  <c r="J39" i="1"/>
  <c r="K40" i="1"/>
  <c r="H7" i="1"/>
  <c r="H23" i="1"/>
  <c r="AH30" i="1"/>
  <c r="AI33" i="1"/>
  <c r="AK33" i="1"/>
  <c r="U6" i="1"/>
  <c r="E9" i="1"/>
  <c r="D11" i="1"/>
  <c r="E13" i="1"/>
  <c r="D15" i="1"/>
  <c r="E17" i="1"/>
  <c r="D19" i="1"/>
  <c r="E21" i="1"/>
  <c r="D23" i="1"/>
  <c r="E25" i="1"/>
  <c r="D27" i="1"/>
  <c r="E29" i="1"/>
  <c r="E31" i="1"/>
  <c r="AN19" i="1"/>
  <c r="BP5" i="1"/>
  <c r="BN6" i="1"/>
  <c r="J10" i="1"/>
  <c r="K11" i="1"/>
  <c r="K12" i="1"/>
  <c r="K13" i="1"/>
  <c r="K19" i="1"/>
  <c r="J23" i="1"/>
  <c r="J24" i="1"/>
  <c r="K25" i="1"/>
  <c r="AR33" i="1"/>
  <c r="AG11" i="1"/>
  <c r="AG18" i="1"/>
  <c r="BH6" i="1"/>
  <c r="AK6" i="1"/>
  <c r="H8" i="1"/>
  <c r="I10" i="1"/>
  <c r="H12" i="1"/>
  <c r="I14" i="1"/>
  <c r="H16" i="1"/>
  <c r="I18" i="1"/>
  <c r="H20" i="1"/>
  <c r="I22" i="1"/>
  <c r="H24" i="1"/>
  <c r="I26" i="1"/>
  <c r="H28" i="1"/>
  <c r="H38" i="1"/>
  <c r="I38" i="1"/>
  <c r="AG40" i="1"/>
  <c r="AG41" i="1"/>
  <c r="AA6" i="1"/>
  <c r="AA5" i="1" s="1"/>
  <c r="BA41" i="1"/>
  <c r="BA33" i="1" s="1"/>
  <c r="Q19" i="1"/>
  <c r="Q27" i="1"/>
  <c r="AV30" i="1"/>
  <c r="W6" i="1"/>
  <c r="V6" i="1"/>
  <c r="T30" i="1"/>
  <c r="V33" i="1"/>
  <c r="E35" i="1"/>
  <c r="D38" i="1"/>
  <c r="E39" i="1"/>
  <c r="F29" i="3"/>
  <c r="D29" i="3" s="1"/>
  <c r="F6" i="3"/>
  <c r="D6" i="3" s="1"/>
  <c r="AP6" i="1"/>
  <c r="AR6" i="1"/>
  <c r="J12" i="1"/>
  <c r="AR30" i="1"/>
  <c r="K31" i="1"/>
  <c r="J8" i="1"/>
  <c r="J16" i="1"/>
  <c r="AP33" i="1"/>
  <c r="H36" i="1"/>
  <c r="H40" i="1"/>
  <c r="S30" i="1"/>
  <c r="U41" i="1"/>
  <c r="AG8" i="1"/>
  <c r="AG12" i="1"/>
  <c r="AG16" i="1"/>
  <c r="AG20" i="1"/>
  <c r="AG24" i="1"/>
  <c r="AG28" i="1"/>
  <c r="AG32" i="1"/>
  <c r="AH33" i="1"/>
  <c r="H35" i="1"/>
  <c r="H37" i="1"/>
  <c r="H39" i="1"/>
  <c r="H41" i="1"/>
  <c r="Y7" i="1"/>
  <c r="Z8" i="1"/>
  <c r="AD6" i="1"/>
  <c r="AD30" i="1"/>
  <c r="AA41" i="1"/>
  <c r="Y41" i="1" s="1"/>
  <c r="D7" i="1"/>
  <c r="D9" i="1"/>
  <c r="D13" i="1"/>
  <c r="D31" i="1"/>
  <c r="AB5" i="1"/>
  <c r="X14" i="1" l="1"/>
  <c r="X18" i="1"/>
  <c r="BB5" i="1"/>
  <c r="X10" i="1"/>
  <c r="X8" i="1"/>
  <c r="R30" i="1"/>
  <c r="U5" i="1"/>
  <c r="X39" i="1"/>
  <c r="Q30" i="1"/>
  <c r="AL40" i="1"/>
  <c r="Q18" i="1"/>
  <c r="Q13" i="1"/>
  <c r="AL17" i="1"/>
  <c r="AE7" i="1"/>
  <c r="X37" i="1"/>
  <c r="F30" i="1"/>
  <c r="AE27" i="1"/>
  <c r="W5" i="1"/>
  <c r="E5" i="1" s="1"/>
  <c r="AL28" i="1"/>
  <c r="AE24" i="1"/>
  <c r="AE20" i="1"/>
  <c r="AL18" i="1"/>
  <c r="Q8" i="1"/>
  <c r="X29" i="1"/>
  <c r="AM33" i="1"/>
  <c r="AE9" i="1"/>
  <c r="Q35" i="1"/>
  <c r="AM30" i="1"/>
  <c r="X27" i="1"/>
  <c r="X16" i="1"/>
  <c r="AJ5" i="1"/>
  <c r="Z30" i="1"/>
  <c r="Q25" i="1"/>
  <c r="AE21" i="1"/>
  <c r="AL8" i="1"/>
  <c r="AL25" i="1"/>
  <c r="X25" i="1"/>
  <c r="AE36" i="1"/>
  <c r="Y30" i="1"/>
  <c r="Q29" i="1"/>
  <c r="X28" i="1"/>
  <c r="AL23" i="1"/>
  <c r="AL7" i="1"/>
  <c r="AQ5" i="1"/>
  <c r="AE10" i="1"/>
  <c r="X22" i="1"/>
  <c r="X36" i="1"/>
  <c r="K33" i="1"/>
  <c r="I6" i="1"/>
  <c r="I33" i="1"/>
  <c r="AL19" i="1"/>
  <c r="AL32" i="1"/>
  <c r="Y33" i="1"/>
  <c r="K30" i="1"/>
  <c r="V5" i="1"/>
  <c r="AE18" i="1"/>
  <c r="AE37" i="1"/>
  <c r="BG5" i="1"/>
  <c r="X31" i="1"/>
  <c r="X40" i="1"/>
  <c r="AE29" i="1"/>
  <c r="AE13" i="1"/>
  <c r="AE23" i="1"/>
  <c r="AE39" i="1"/>
  <c r="Z33" i="1"/>
  <c r="AN33" i="1"/>
  <c r="AL33" i="1" s="1"/>
  <c r="R6" i="1"/>
  <c r="AF6" i="1"/>
  <c r="AL30" i="1"/>
  <c r="AE40" i="1"/>
  <c r="H6" i="1"/>
  <c r="AI5" i="1"/>
  <c r="AH5" i="1"/>
  <c r="D30" i="1"/>
  <c r="E33" i="1"/>
  <c r="AL13" i="1"/>
  <c r="X35" i="1"/>
  <c r="AL11" i="1"/>
  <c r="BA5" i="1"/>
  <c r="AM6" i="1"/>
  <c r="AM5" i="1" s="1"/>
  <c r="Y6" i="1"/>
  <c r="S6" i="1"/>
  <c r="S5" i="1" s="1"/>
  <c r="AE15" i="1"/>
  <c r="R33" i="1"/>
  <c r="AL10" i="1"/>
  <c r="AV5" i="1"/>
  <c r="AE8" i="1"/>
  <c r="AC5" i="1"/>
  <c r="T5" i="1"/>
  <c r="D5" i="1" s="1"/>
  <c r="BH5" i="1"/>
  <c r="AF33" i="1"/>
  <c r="AE11" i="1"/>
  <c r="G30" i="1"/>
  <c r="H33" i="1"/>
  <c r="AE32" i="1"/>
  <c r="AE41" i="1"/>
  <c r="AL31" i="1"/>
  <c r="D6" i="1"/>
  <c r="AK5" i="1"/>
  <c r="AE16" i="1"/>
  <c r="J33" i="1"/>
  <c r="BN5" i="1"/>
  <c r="AO5" i="1"/>
  <c r="AE28" i="1"/>
  <c r="AE12" i="1"/>
  <c r="F5" i="1"/>
  <c r="E6" i="1"/>
  <c r="AE35" i="1"/>
  <c r="AG33" i="1"/>
  <c r="AF5" i="1"/>
  <c r="H30" i="1"/>
  <c r="AN6" i="1"/>
  <c r="F6" i="1"/>
  <c r="D41" i="1"/>
  <c r="S41" i="1"/>
  <c r="G6" i="1"/>
  <c r="AD5" i="1"/>
  <c r="F41" i="1"/>
  <c r="AG30" i="1"/>
  <c r="AE30" i="1" s="1"/>
  <c r="X41" i="1"/>
  <c r="J6" i="1"/>
  <c r="AP5" i="1"/>
  <c r="K6" i="1"/>
  <c r="AR5" i="1"/>
  <c r="K5" i="1" s="1"/>
  <c r="Z6" i="1"/>
  <c r="AA33" i="1"/>
  <c r="F33" i="1" s="1"/>
  <c r="U33" i="1"/>
  <c r="D33" i="1" s="1"/>
  <c r="X7" i="1"/>
  <c r="AG6" i="1"/>
  <c r="X30" i="1" l="1"/>
  <c r="R5" i="1"/>
  <c r="X33" i="1"/>
  <c r="I5" i="1"/>
  <c r="Q5" i="1"/>
  <c r="Y5" i="1"/>
  <c r="Q6" i="1"/>
  <c r="H5" i="1"/>
  <c r="G5" i="1"/>
  <c r="AE33" i="1"/>
  <c r="J5" i="1"/>
  <c r="AN5" i="1"/>
  <c r="AL5" i="1" s="1"/>
  <c r="AL6" i="1"/>
  <c r="Z5" i="1"/>
  <c r="X5" i="1" s="1"/>
  <c r="X6" i="1"/>
  <c r="AG5" i="1"/>
  <c r="AE5" i="1" s="1"/>
  <c r="AE6" i="1"/>
  <c r="Q41" i="1"/>
  <c r="S33" i="1"/>
  <c r="Q33" i="1" s="1"/>
</calcChain>
</file>

<file path=xl/sharedStrings.xml><?xml version="1.0" encoding="utf-8"?>
<sst xmlns="http://schemas.openxmlformats.org/spreadsheetml/2006/main" count="3056" uniqueCount="208">
  <si>
    <r>
      <t>35</t>
    </r>
    <r>
      <rPr>
        <sz val="12"/>
        <rFont val="標楷體"/>
        <family val="4"/>
        <charset val="136"/>
      </rPr>
      <t>－</t>
    </r>
    <r>
      <rPr>
        <sz val="12"/>
        <rFont val="Arial"/>
        <family val="2"/>
      </rPr>
      <t>39</t>
    </r>
    <r>
      <rPr>
        <sz val="12"/>
        <rFont val="標楷體"/>
        <family val="4"/>
        <charset val="136"/>
      </rPr>
      <t>歲</t>
    </r>
  </si>
  <si>
    <r>
      <t>40</t>
    </r>
    <r>
      <rPr>
        <sz val="12"/>
        <rFont val="標楷體"/>
        <family val="4"/>
        <charset val="136"/>
      </rPr>
      <t>－</t>
    </r>
    <r>
      <rPr>
        <sz val="12"/>
        <rFont val="Arial"/>
        <family val="2"/>
      </rPr>
      <t>44</t>
    </r>
    <r>
      <rPr>
        <sz val="12"/>
        <rFont val="標楷體"/>
        <family val="4"/>
        <charset val="136"/>
      </rPr>
      <t>歲</t>
    </r>
  </si>
  <si>
    <r>
      <t>45</t>
    </r>
    <r>
      <rPr>
        <sz val="12"/>
        <rFont val="標楷體"/>
        <family val="4"/>
        <charset val="136"/>
      </rPr>
      <t>－</t>
    </r>
    <r>
      <rPr>
        <sz val="12"/>
        <rFont val="Arial"/>
        <family val="2"/>
      </rPr>
      <t>49</t>
    </r>
    <r>
      <rPr>
        <sz val="12"/>
        <rFont val="標楷體"/>
        <family val="4"/>
        <charset val="136"/>
      </rPr>
      <t>歲</t>
    </r>
  </si>
  <si>
    <r>
      <t>50</t>
    </r>
    <r>
      <rPr>
        <sz val="12"/>
        <rFont val="標楷體"/>
        <family val="4"/>
        <charset val="136"/>
      </rPr>
      <t>－</t>
    </r>
    <r>
      <rPr>
        <sz val="12"/>
        <rFont val="Arial"/>
        <family val="2"/>
      </rPr>
      <t>54</t>
    </r>
    <r>
      <rPr>
        <sz val="12"/>
        <rFont val="標楷體"/>
        <family val="4"/>
        <charset val="136"/>
      </rPr>
      <t>歲</t>
    </r>
  </si>
  <si>
    <r>
      <t>55</t>
    </r>
    <r>
      <rPr>
        <sz val="12"/>
        <rFont val="標楷體"/>
        <family val="4"/>
        <charset val="136"/>
      </rPr>
      <t>－</t>
    </r>
    <r>
      <rPr>
        <sz val="12"/>
        <rFont val="Arial"/>
        <family val="2"/>
      </rPr>
      <t>59</t>
    </r>
    <r>
      <rPr>
        <sz val="12"/>
        <rFont val="標楷體"/>
        <family val="4"/>
        <charset val="136"/>
      </rPr>
      <t>歲</t>
    </r>
  </si>
  <si>
    <r>
      <t>60</t>
    </r>
    <r>
      <rPr>
        <sz val="12"/>
        <rFont val="標楷體"/>
        <family val="4"/>
        <charset val="136"/>
      </rPr>
      <t>－</t>
    </r>
    <r>
      <rPr>
        <sz val="12"/>
        <rFont val="Arial"/>
        <family val="2"/>
      </rPr>
      <t>64</t>
    </r>
    <r>
      <rPr>
        <sz val="12"/>
        <rFont val="標楷體"/>
        <family val="4"/>
        <charset val="136"/>
      </rPr>
      <t>歲</t>
    </r>
  </si>
  <si>
    <r>
      <rPr>
        <b/>
        <sz val="16"/>
        <rFont val="標楷體"/>
        <family val="4"/>
        <charset val="136"/>
      </rPr>
      <t>一次請領老年給付件數及金額</t>
    </r>
    <r>
      <rPr>
        <b/>
        <sz val="16"/>
        <rFont val="Arial"/>
        <family val="2"/>
      </rPr>
      <t>(</t>
    </r>
    <r>
      <rPr>
        <b/>
        <sz val="16"/>
        <rFont val="標楷體"/>
        <family val="4"/>
        <charset val="136"/>
      </rPr>
      <t>扣除補發金額</t>
    </r>
    <r>
      <rPr>
        <b/>
        <sz val="16"/>
        <rFont val="Arial"/>
        <family val="2"/>
      </rPr>
      <t>)</t>
    </r>
    <phoneticPr fontId="3" type="noConversion"/>
  </si>
  <si>
    <r>
      <rPr>
        <b/>
        <sz val="16"/>
        <rFont val="標楷體"/>
        <family val="4"/>
        <charset val="136"/>
      </rPr>
      <t>一次請領老年給付原始件數及金額</t>
    </r>
    <r>
      <rPr>
        <b/>
        <sz val="16"/>
        <rFont val="Arial"/>
        <family val="2"/>
      </rPr>
      <t>(</t>
    </r>
    <r>
      <rPr>
        <b/>
        <sz val="16"/>
        <rFont val="標楷體"/>
        <family val="4"/>
        <charset val="136"/>
      </rPr>
      <t>包含補發金額</t>
    </r>
    <r>
      <rPr>
        <b/>
        <sz val="16"/>
        <rFont val="Arial"/>
        <family val="2"/>
      </rPr>
      <t>)</t>
    </r>
    <phoneticPr fontId="3" type="noConversion"/>
  </si>
  <si>
    <r>
      <rPr>
        <b/>
        <sz val="16"/>
        <rFont val="標楷體"/>
        <family val="4"/>
        <charset val="136"/>
      </rPr>
      <t>老年給付補發金額</t>
    </r>
    <phoneticPr fontId="3" type="noConversion"/>
  </si>
  <si>
    <r>
      <rPr>
        <sz val="12"/>
        <rFont val="標楷體"/>
        <family val="4"/>
        <charset val="136"/>
      </rPr>
      <t>項目名稱</t>
    </r>
  </si>
  <si>
    <r>
      <rPr>
        <sz val="12"/>
        <rFont val="標楷體"/>
        <family val="4"/>
        <charset val="136"/>
      </rPr>
      <t>男</t>
    </r>
  </si>
  <si>
    <r>
      <rPr>
        <sz val="12"/>
        <rFont val="標楷體"/>
        <family val="4"/>
        <charset val="136"/>
      </rPr>
      <t>女</t>
    </r>
  </si>
  <si>
    <r>
      <rPr>
        <sz val="12"/>
        <rFont val="標楷體"/>
        <family val="4"/>
        <charset val="136"/>
      </rPr>
      <t>合計</t>
    </r>
    <phoneticPr fontId="3" type="noConversion"/>
  </si>
  <si>
    <r>
      <rPr>
        <sz val="12"/>
        <rFont val="標楷體"/>
        <family val="4"/>
        <charset val="136"/>
      </rPr>
      <t>男</t>
    </r>
    <phoneticPr fontId="3" type="noConversion"/>
  </si>
  <si>
    <r>
      <rPr>
        <sz val="12"/>
        <rFont val="標楷體"/>
        <family val="4"/>
        <charset val="136"/>
      </rPr>
      <t>女</t>
    </r>
    <phoneticPr fontId="3" type="noConversion"/>
  </si>
  <si>
    <r>
      <rPr>
        <sz val="12"/>
        <rFont val="標楷體"/>
        <family val="4"/>
        <charset val="136"/>
      </rPr>
      <t>件數</t>
    </r>
    <phoneticPr fontId="4" type="noConversion"/>
  </si>
  <si>
    <r>
      <rPr>
        <sz val="12"/>
        <rFont val="標楷體"/>
        <family val="4"/>
        <charset val="136"/>
      </rPr>
      <t>金額</t>
    </r>
    <phoneticPr fontId="4" type="noConversion"/>
  </si>
  <si>
    <r>
      <rPr>
        <sz val="12"/>
        <rFont val="標楷體"/>
        <family val="4"/>
        <charset val="136"/>
      </rPr>
      <t>縣
市
別</t>
    </r>
    <phoneticPr fontId="3" type="noConversion"/>
  </si>
  <si>
    <r>
      <rPr>
        <b/>
        <sz val="12"/>
        <rFont val="標楷體"/>
        <family val="4"/>
        <charset val="136"/>
      </rPr>
      <t>總計</t>
    </r>
  </si>
  <si>
    <r>
      <rPr>
        <b/>
        <sz val="12"/>
        <rFont val="標楷體"/>
        <family val="4"/>
        <charset val="136"/>
      </rPr>
      <t>臺</t>
    </r>
    <r>
      <rPr>
        <b/>
        <sz val="12"/>
        <rFont val="Arial"/>
        <family val="2"/>
      </rPr>
      <t xml:space="preserve"> </t>
    </r>
    <r>
      <rPr>
        <b/>
        <sz val="12"/>
        <rFont val="標楷體"/>
        <family val="4"/>
        <charset val="136"/>
      </rPr>
      <t>灣</t>
    </r>
    <r>
      <rPr>
        <b/>
        <sz val="12"/>
        <rFont val="Arial"/>
        <family val="2"/>
      </rPr>
      <t xml:space="preserve"> </t>
    </r>
    <r>
      <rPr>
        <b/>
        <sz val="12"/>
        <rFont val="標楷體"/>
        <family val="4"/>
        <charset val="136"/>
      </rPr>
      <t>省</t>
    </r>
  </si>
  <si>
    <r>
      <rPr>
        <sz val="12"/>
        <rFont val="標楷體"/>
        <family val="4"/>
        <charset val="136"/>
      </rPr>
      <t>臺北縣</t>
    </r>
  </si>
  <si>
    <r>
      <rPr>
        <sz val="12"/>
        <rFont val="標楷體"/>
        <family val="4"/>
        <charset val="136"/>
      </rPr>
      <t>宜蘭縣</t>
    </r>
  </si>
  <si>
    <r>
      <rPr>
        <sz val="12"/>
        <rFont val="標楷體"/>
        <family val="4"/>
        <charset val="136"/>
      </rPr>
      <t>桃園縣</t>
    </r>
  </si>
  <si>
    <r>
      <rPr>
        <sz val="12"/>
        <rFont val="標楷體"/>
        <family val="4"/>
        <charset val="136"/>
      </rPr>
      <t>新竹縣</t>
    </r>
  </si>
  <si>
    <r>
      <rPr>
        <sz val="12"/>
        <rFont val="標楷體"/>
        <family val="4"/>
        <charset val="136"/>
      </rPr>
      <t>苗栗縣</t>
    </r>
  </si>
  <si>
    <r>
      <rPr>
        <sz val="12"/>
        <rFont val="標楷體"/>
        <family val="4"/>
        <charset val="136"/>
      </rPr>
      <t>臺中縣</t>
    </r>
  </si>
  <si>
    <r>
      <rPr>
        <sz val="12"/>
        <rFont val="標楷體"/>
        <family val="4"/>
        <charset val="136"/>
      </rPr>
      <t>彰化縣</t>
    </r>
  </si>
  <si>
    <r>
      <rPr>
        <sz val="12"/>
        <rFont val="標楷體"/>
        <family val="4"/>
        <charset val="136"/>
      </rPr>
      <t>南投縣</t>
    </r>
  </si>
  <si>
    <r>
      <rPr>
        <sz val="12"/>
        <rFont val="標楷體"/>
        <family val="4"/>
        <charset val="136"/>
      </rPr>
      <t>雲林縣</t>
    </r>
  </si>
  <si>
    <r>
      <rPr>
        <sz val="12"/>
        <rFont val="標楷體"/>
        <family val="4"/>
        <charset val="136"/>
      </rPr>
      <t>嘉義縣</t>
    </r>
  </si>
  <si>
    <r>
      <rPr>
        <sz val="12"/>
        <rFont val="標楷體"/>
        <family val="4"/>
        <charset val="136"/>
      </rPr>
      <t>臺南縣</t>
    </r>
  </si>
  <si>
    <r>
      <rPr>
        <sz val="12"/>
        <rFont val="標楷體"/>
        <family val="4"/>
        <charset val="136"/>
      </rPr>
      <t>高雄縣</t>
    </r>
  </si>
  <si>
    <r>
      <rPr>
        <sz val="12"/>
        <rFont val="標楷體"/>
        <family val="4"/>
        <charset val="136"/>
      </rPr>
      <t>屏東縣</t>
    </r>
  </si>
  <si>
    <r>
      <rPr>
        <sz val="12"/>
        <rFont val="標楷體"/>
        <family val="4"/>
        <charset val="136"/>
      </rPr>
      <t>臺東縣</t>
    </r>
  </si>
  <si>
    <r>
      <rPr>
        <sz val="12"/>
        <rFont val="標楷體"/>
        <family val="4"/>
        <charset val="136"/>
      </rPr>
      <t>花蓮縣</t>
    </r>
  </si>
  <si>
    <r>
      <rPr>
        <sz val="12"/>
        <rFont val="標楷體"/>
        <family val="4"/>
        <charset val="136"/>
      </rPr>
      <t>澎湖縣</t>
    </r>
  </si>
  <si>
    <r>
      <rPr>
        <sz val="12"/>
        <rFont val="標楷體"/>
        <family val="4"/>
        <charset val="136"/>
      </rPr>
      <t>基隆市</t>
    </r>
  </si>
  <si>
    <r>
      <rPr>
        <sz val="12"/>
        <rFont val="標楷體"/>
        <family val="4"/>
        <charset val="136"/>
      </rPr>
      <t>新竹市</t>
    </r>
  </si>
  <si>
    <r>
      <rPr>
        <sz val="12"/>
        <rFont val="標楷體"/>
        <family val="4"/>
        <charset val="136"/>
      </rPr>
      <t>臺中市</t>
    </r>
  </si>
  <si>
    <r>
      <rPr>
        <sz val="12"/>
        <rFont val="標楷體"/>
        <family val="4"/>
        <charset val="136"/>
      </rPr>
      <t>嘉義市</t>
    </r>
  </si>
  <si>
    <r>
      <rPr>
        <sz val="12"/>
        <rFont val="標楷體"/>
        <family val="4"/>
        <charset val="136"/>
      </rPr>
      <t>臺南市</t>
    </r>
  </si>
  <si>
    <r>
      <rPr>
        <b/>
        <sz val="12"/>
        <rFont val="標楷體"/>
        <family val="4"/>
        <charset val="136"/>
      </rPr>
      <t>臺</t>
    </r>
    <r>
      <rPr>
        <b/>
        <sz val="12"/>
        <rFont val="Arial"/>
        <family val="2"/>
      </rPr>
      <t xml:space="preserve"> </t>
    </r>
    <r>
      <rPr>
        <b/>
        <sz val="12"/>
        <rFont val="標楷體"/>
        <family val="4"/>
        <charset val="136"/>
      </rPr>
      <t>北</t>
    </r>
    <r>
      <rPr>
        <b/>
        <sz val="12"/>
        <rFont val="Arial"/>
        <family val="2"/>
      </rPr>
      <t xml:space="preserve"> </t>
    </r>
    <r>
      <rPr>
        <b/>
        <sz val="12"/>
        <rFont val="標楷體"/>
        <family val="4"/>
        <charset val="136"/>
      </rPr>
      <t>市</t>
    </r>
  </si>
  <si>
    <r>
      <rPr>
        <b/>
        <sz val="12"/>
        <rFont val="標楷體"/>
        <family val="4"/>
        <charset val="136"/>
      </rPr>
      <t>高</t>
    </r>
    <r>
      <rPr>
        <b/>
        <sz val="12"/>
        <rFont val="Arial"/>
        <family val="2"/>
      </rPr>
      <t xml:space="preserve"> </t>
    </r>
    <r>
      <rPr>
        <b/>
        <sz val="12"/>
        <rFont val="標楷體"/>
        <family val="4"/>
        <charset val="136"/>
      </rPr>
      <t>雄</t>
    </r>
    <r>
      <rPr>
        <b/>
        <sz val="12"/>
        <rFont val="Arial"/>
        <family val="2"/>
      </rPr>
      <t xml:space="preserve"> </t>
    </r>
    <r>
      <rPr>
        <b/>
        <sz val="12"/>
        <rFont val="標楷體"/>
        <family val="4"/>
        <charset val="136"/>
      </rPr>
      <t>市</t>
    </r>
  </si>
  <si>
    <r>
      <rPr>
        <sz val="12"/>
        <rFont val="標楷體"/>
        <family val="4"/>
        <charset val="136"/>
      </rPr>
      <t>金門縣</t>
    </r>
  </si>
  <si>
    <r>
      <rPr>
        <sz val="12"/>
        <rFont val="標楷體"/>
        <family val="4"/>
        <charset val="136"/>
      </rPr>
      <t>連江縣</t>
    </r>
  </si>
  <si>
    <r>
      <rPr>
        <sz val="12"/>
        <rFont val="標楷體"/>
        <family val="4"/>
        <charset val="136"/>
      </rPr>
      <t>複分類
項目</t>
    </r>
    <phoneticPr fontId="3" type="noConversion"/>
  </si>
  <si>
    <r>
      <t>99</t>
    </r>
    <r>
      <rPr>
        <sz val="12"/>
        <rFont val="標楷體"/>
        <family val="4"/>
        <charset val="136"/>
      </rPr>
      <t>年</t>
    </r>
    <phoneticPr fontId="3" type="noConversion"/>
  </si>
  <si>
    <r>
      <t>98</t>
    </r>
    <r>
      <rPr>
        <sz val="12"/>
        <rFont val="標楷體"/>
        <family val="4"/>
        <charset val="136"/>
      </rPr>
      <t>年</t>
    </r>
    <phoneticPr fontId="3" type="noConversion"/>
  </si>
  <si>
    <r>
      <t>97</t>
    </r>
    <r>
      <rPr>
        <sz val="12"/>
        <rFont val="標楷體"/>
        <family val="4"/>
        <charset val="136"/>
      </rPr>
      <t>年</t>
    </r>
    <phoneticPr fontId="3" type="noConversion"/>
  </si>
  <si>
    <r>
      <t>96</t>
    </r>
    <r>
      <rPr>
        <sz val="12"/>
        <rFont val="標楷體"/>
        <family val="4"/>
        <charset val="136"/>
      </rPr>
      <t>年</t>
    </r>
    <phoneticPr fontId="3" type="noConversion"/>
  </si>
  <si>
    <r>
      <rPr>
        <sz val="12"/>
        <rFont val="標楷體"/>
        <family val="4"/>
        <charset val="136"/>
      </rPr>
      <t>副分類
項目</t>
    </r>
    <phoneticPr fontId="3" type="noConversion"/>
  </si>
  <si>
    <r>
      <rPr>
        <sz val="12"/>
        <rFont val="標楷體"/>
        <family val="4"/>
        <charset val="136"/>
      </rPr>
      <t>項目
名稱</t>
    </r>
    <phoneticPr fontId="3" type="noConversion"/>
  </si>
  <si>
    <r>
      <rPr>
        <sz val="12"/>
        <rFont val="標楷體"/>
        <family val="4"/>
        <charset val="136"/>
      </rPr>
      <t>複分類
項目</t>
    </r>
    <phoneticPr fontId="4" type="noConversion"/>
  </si>
  <si>
    <r>
      <t>103</t>
    </r>
    <r>
      <rPr>
        <sz val="12"/>
        <rFont val="標楷體"/>
        <family val="4"/>
        <charset val="136"/>
      </rPr>
      <t>年</t>
    </r>
    <phoneticPr fontId="4" type="noConversion"/>
  </si>
  <si>
    <r>
      <t>102</t>
    </r>
    <r>
      <rPr>
        <sz val="12"/>
        <rFont val="標楷體"/>
        <family val="4"/>
        <charset val="136"/>
      </rPr>
      <t>年</t>
    </r>
    <phoneticPr fontId="4" type="noConversion"/>
  </si>
  <si>
    <r>
      <t>101</t>
    </r>
    <r>
      <rPr>
        <sz val="12"/>
        <rFont val="標楷體"/>
        <family val="4"/>
        <charset val="136"/>
      </rPr>
      <t>年</t>
    </r>
    <phoneticPr fontId="4" type="noConversion"/>
  </si>
  <si>
    <r>
      <t>100</t>
    </r>
    <r>
      <rPr>
        <sz val="12"/>
        <rFont val="標楷體"/>
        <family val="4"/>
        <charset val="136"/>
      </rPr>
      <t>年</t>
    </r>
    <phoneticPr fontId="4" type="noConversion"/>
  </si>
  <si>
    <r>
      <t>104</t>
    </r>
    <r>
      <rPr>
        <sz val="12"/>
        <rFont val="標楷體"/>
        <family val="4"/>
        <charset val="136"/>
      </rPr>
      <t>年</t>
    </r>
    <phoneticPr fontId="4" type="noConversion"/>
  </si>
  <si>
    <r>
      <rPr>
        <sz val="11"/>
        <rFont val="標楷體"/>
        <family val="4"/>
        <charset val="136"/>
      </rPr>
      <t>合計</t>
    </r>
    <phoneticPr fontId="3" type="noConversion"/>
  </si>
  <si>
    <r>
      <rPr>
        <sz val="11"/>
        <rFont val="標楷體"/>
        <family val="4"/>
        <charset val="136"/>
      </rPr>
      <t>男</t>
    </r>
    <phoneticPr fontId="3" type="noConversion"/>
  </si>
  <si>
    <r>
      <rPr>
        <sz val="11"/>
        <rFont val="標楷體"/>
        <family val="4"/>
        <charset val="136"/>
      </rPr>
      <t>女</t>
    </r>
    <phoneticPr fontId="3" type="noConversion"/>
  </si>
  <si>
    <r>
      <t>105</t>
    </r>
    <r>
      <rPr>
        <sz val="12"/>
        <rFont val="標楷體"/>
        <family val="4"/>
        <charset val="136"/>
      </rPr>
      <t>年</t>
    </r>
    <phoneticPr fontId="4" type="noConversion"/>
  </si>
  <si>
    <r>
      <rPr>
        <sz val="12"/>
        <rFont val="標楷體"/>
        <family val="4"/>
        <charset val="136"/>
      </rPr>
      <t>項目
名稱</t>
    </r>
    <phoneticPr fontId="14" type="noConversion"/>
  </si>
  <si>
    <r>
      <rPr>
        <sz val="12"/>
        <rFont val="標楷體"/>
        <family val="4"/>
        <charset val="136"/>
      </rPr>
      <t>年
齡
組
別</t>
    </r>
    <phoneticPr fontId="3" type="noConversion"/>
  </si>
  <si>
    <r>
      <t>55</t>
    </r>
    <r>
      <rPr>
        <sz val="11"/>
        <rFont val="標楷體"/>
        <family val="4"/>
        <charset val="136"/>
      </rPr>
      <t>－</t>
    </r>
    <r>
      <rPr>
        <sz val="11"/>
        <rFont val="Arial Narrow"/>
        <family val="2"/>
      </rPr>
      <t>59</t>
    </r>
    <r>
      <rPr>
        <sz val="11"/>
        <rFont val="標楷體"/>
        <family val="4"/>
        <charset val="136"/>
      </rPr>
      <t>歲</t>
    </r>
  </si>
  <si>
    <r>
      <rPr>
        <sz val="12"/>
        <rFont val="標楷體"/>
        <family val="4"/>
        <charset val="136"/>
      </rPr>
      <t>合計</t>
    </r>
    <phoneticPr fontId="3" type="noConversion"/>
  </si>
  <si>
    <r>
      <rPr>
        <sz val="12"/>
        <rFont val="標楷體"/>
        <family val="4"/>
        <charset val="136"/>
      </rPr>
      <t>男</t>
    </r>
    <phoneticPr fontId="3" type="noConversion"/>
  </si>
  <si>
    <r>
      <rPr>
        <sz val="12"/>
        <rFont val="標楷體"/>
        <family val="4"/>
        <charset val="136"/>
      </rPr>
      <t>女</t>
    </r>
    <phoneticPr fontId="3" type="noConversion"/>
  </si>
  <si>
    <r>
      <rPr>
        <sz val="12"/>
        <rFont val="標楷體"/>
        <family val="4"/>
        <charset val="136"/>
      </rPr>
      <t>單價</t>
    </r>
    <phoneticPr fontId="4" type="noConversion"/>
  </si>
  <si>
    <r>
      <rPr>
        <sz val="12"/>
        <rFont val="標楷體"/>
        <family val="4"/>
        <charset val="136"/>
      </rPr>
      <t>件數</t>
    </r>
    <phoneticPr fontId="4" type="noConversion"/>
  </si>
  <si>
    <r>
      <rPr>
        <sz val="12"/>
        <rFont val="標楷體"/>
        <family val="4"/>
        <charset val="136"/>
      </rPr>
      <t>扣除補發金額</t>
    </r>
    <phoneticPr fontId="4" type="noConversion"/>
  </si>
  <si>
    <r>
      <rPr>
        <sz val="12"/>
        <rFont val="標楷體"/>
        <family val="4"/>
        <charset val="136"/>
      </rPr>
      <t>金額</t>
    </r>
    <phoneticPr fontId="4" type="noConversion"/>
  </si>
  <si>
    <r>
      <rPr>
        <sz val="12"/>
        <rFont val="標楷體"/>
        <family val="4"/>
        <charset val="136"/>
      </rPr>
      <t>縣
市
別</t>
    </r>
    <phoneticPr fontId="3" type="noConversion"/>
  </si>
  <si>
    <r>
      <rPr>
        <b/>
        <sz val="12"/>
        <rFont val="標楷體"/>
        <family val="4"/>
        <charset val="136"/>
      </rPr>
      <t>金馬地區</t>
    </r>
    <phoneticPr fontId="4" type="noConversion"/>
  </si>
  <si>
    <r>
      <rPr>
        <sz val="12"/>
        <rFont val="標楷體"/>
        <family val="4"/>
        <charset val="136"/>
      </rPr>
      <t>年
齡
組
別</t>
    </r>
    <phoneticPr fontId="3" type="noConversion"/>
  </si>
  <si>
    <r>
      <t>65</t>
    </r>
    <r>
      <rPr>
        <sz val="12"/>
        <rFont val="標楷體"/>
        <family val="4"/>
        <charset val="136"/>
      </rPr>
      <t>歲以上</t>
    </r>
    <phoneticPr fontId="4" type="noConversion"/>
  </si>
  <si>
    <r>
      <rPr>
        <b/>
        <sz val="11"/>
        <rFont val="標楷體"/>
        <family val="4"/>
        <charset val="136"/>
      </rPr>
      <t>總計</t>
    </r>
  </si>
  <si>
    <r>
      <rPr>
        <sz val="11"/>
        <rFont val="標楷體"/>
        <family val="4"/>
        <charset val="136"/>
      </rPr>
      <t>宜蘭縣</t>
    </r>
  </si>
  <si>
    <r>
      <rPr>
        <sz val="11"/>
        <rFont val="標楷體"/>
        <family val="4"/>
        <charset val="136"/>
      </rPr>
      <t>桃園縣</t>
    </r>
  </si>
  <si>
    <r>
      <rPr>
        <sz val="11"/>
        <rFont val="標楷體"/>
        <family val="4"/>
        <charset val="136"/>
      </rPr>
      <t>新竹縣</t>
    </r>
  </si>
  <si>
    <r>
      <rPr>
        <sz val="11"/>
        <rFont val="標楷體"/>
        <family val="4"/>
        <charset val="136"/>
      </rPr>
      <t>苗栗縣</t>
    </r>
  </si>
  <si>
    <r>
      <rPr>
        <sz val="11"/>
        <rFont val="標楷體"/>
        <family val="4"/>
        <charset val="136"/>
      </rPr>
      <t>彰化縣</t>
    </r>
  </si>
  <si>
    <r>
      <rPr>
        <sz val="11"/>
        <rFont val="標楷體"/>
        <family val="4"/>
        <charset val="136"/>
      </rPr>
      <t>南投縣</t>
    </r>
  </si>
  <si>
    <r>
      <rPr>
        <sz val="11"/>
        <rFont val="標楷體"/>
        <family val="4"/>
        <charset val="136"/>
      </rPr>
      <t>雲林縣</t>
    </r>
  </si>
  <si>
    <r>
      <rPr>
        <sz val="11"/>
        <rFont val="標楷體"/>
        <family val="4"/>
        <charset val="136"/>
      </rPr>
      <t>嘉義縣</t>
    </r>
  </si>
  <si>
    <r>
      <rPr>
        <sz val="11"/>
        <rFont val="標楷體"/>
        <family val="4"/>
        <charset val="136"/>
      </rPr>
      <t>屏東縣</t>
    </r>
  </si>
  <si>
    <r>
      <rPr>
        <sz val="11"/>
        <rFont val="標楷體"/>
        <family val="4"/>
        <charset val="136"/>
      </rPr>
      <t>臺東縣</t>
    </r>
  </si>
  <si>
    <r>
      <rPr>
        <sz val="11"/>
        <rFont val="標楷體"/>
        <family val="4"/>
        <charset val="136"/>
      </rPr>
      <t>花蓮縣</t>
    </r>
  </si>
  <si>
    <r>
      <rPr>
        <sz val="11"/>
        <rFont val="標楷體"/>
        <family val="4"/>
        <charset val="136"/>
      </rPr>
      <t>澎湖縣</t>
    </r>
  </si>
  <si>
    <r>
      <rPr>
        <sz val="11"/>
        <rFont val="標楷體"/>
        <family val="4"/>
        <charset val="136"/>
      </rPr>
      <t>基隆市</t>
    </r>
  </si>
  <si>
    <r>
      <rPr>
        <sz val="11"/>
        <rFont val="標楷體"/>
        <family val="4"/>
        <charset val="136"/>
      </rPr>
      <t>新竹市</t>
    </r>
  </si>
  <si>
    <r>
      <rPr>
        <sz val="11"/>
        <rFont val="標楷體"/>
        <family val="4"/>
        <charset val="136"/>
      </rPr>
      <t>嘉義市</t>
    </r>
  </si>
  <si>
    <r>
      <rPr>
        <sz val="11"/>
        <rFont val="標楷體"/>
        <family val="4"/>
        <charset val="136"/>
      </rPr>
      <t>金門縣</t>
    </r>
  </si>
  <si>
    <r>
      <rPr>
        <sz val="11"/>
        <rFont val="標楷體"/>
        <family val="4"/>
        <charset val="136"/>
      </rPr>
      <t>連江縣</t>
    </r>
  </si>
  <si>
    <r>
      <t>70</t>
    </r>
    <r>
      <rPr>
        <sz val="11"/>
        <rFont val="標楷體"/>
        <family val="4"/>
        <charset val="136"/>
      </rPr>
      <t>歲以上</t>
    </r>
    <phoneticPr fontId="4" type="noConversion"/>
  </si>
  <si>
    <r>
      <rPr>
        <b/>
        <sz val="11"/>
        <rFont val="標楷體"/>
        <family val="4"/>
        <charset val="136"/>
      </rPr>
      <t>新北市</t>
    </r>
    <phoneticPr fontId="12" type="noConversion"/>
  </si>
  <si>
    <r>
      <rPr>
        <b/>
        <sz val="11"/>
        <rFont val="標楷體"/>
        <family val="4"/>
        <charset val="136"/>
      </rPr>
      <t>臺北市</t>
    </r>
    <phoneticPr fontId="12" type="noConversion"/>
  </si>
  <si>
    <r>
      <rPr>
        <b/>
        <sz val="11"/>
        <rFont val="標楷體"/>
        <family val="4"/>
        <charset val="136"/>
      </rPr>
      <t>臺中市</t>
    </r>
    <phoneticPr fontId="12" type="noConversion"/>
  </si>
  <si>
    <r>
      <rPr>
        <b/>
        <sz val="11"/>
        <rFont val="標楷體"/>
        <family val="4"/>
        <charset val="136"/>
      </rPr>
      <t>臺南市</t>
    </r>
    <phoneticPr fontId="12" type="noConversion"/>
  </si>
  <si>
    <r>
      <rPr>
        <b/>
        <sz val="11"/>
        <rFont val="標楷體"/>
        <family val="4"/>
        <charset val="136"/>
      </rPr>
      <t>高雄市</t>
    </r>
    <phoneticPr fontId="12" type="noConversion"/>
  </si>
  <si>
    <r>
      <t>70</t>
    </r>
    <r>
      <rPr>
        <sz val="11"/>
        <rFont val="標楷體"/>
        <family val="4"/>
        <charset val="136"/>
      </rPr>
      <t>歲以上</t>
    </r>
    <phoneticPr fontId="4" type="noConversion"/>
  </si>
  <si>
    <r>
      <rPr>
        <b/>
        <sz val="11"/>
        <rFont val="標楷體"/>
        <family val="4"/>
        <charset val="136"/>
      </rPr>
      <t>桃園市</t>
    </r>
    <phoneticPr fontId="12" type="noConversion"/>
  </si>
  <si>
    <r>
      <rPr>
        <sz val="11"/>
        <rFont val="標楷體"/>
        <family val="4"/>
        <charset val="136"/>
      </rPr>
      <t>補發併計年資金額</t>
    </r>
    <phoneticPr fontId="14" type="noConversion"/>
  </si>
  <si>
    <r>
      <rPr>
        <sz val="11"/>
        <rFont val="標楷體"/>
        <family val="4"/>
        <charset val="136"/>
      </rPr>
      <t>臺北市</t>
    </r>
    <phoneticPr fontId="12" type="noConversion"/>
  </si>
  <si>
    <r>
      <t>99</t>
    </r>
    <r>
      <rPr>
        <sz val="12"/>
        <rFont val="標楷體"/>
        <family val="4"/>
        <charset val="136"/>
      </rPr>
      <t>年</t>
    </r>
    <phoneticPr fontId="3" type="noConversion"/>
  </si>
  <si>
    <r>
      <t>98</t>
    </r>
    <r>
      <rPr>
        <sz val="12"/>
        <rFont val="標楷體"/>
        <family val="4"/>
        <charset val="136"/>
      </rPr>
      <t>年</t>
    </r>
    <phoneticPr fontId="3" type="noConversion"/>
  </si>
  <si>
    <r>
      <t>97</t>
    </r>
    <r>
      <rPr>
        <sz val="12"/>
        <rFont val="標楷體"/>
        <family val="4"/>
        <charset val="136"/>
      </rPr>
      <t>年</t>
    </r>
    <phoneticPr fontId="3" type="noConversion"/>
  </si>
  <si>
    <r>
      <t>96</t>
    </r>
    <r>
      <rPr>
        <sz val="12"/>
        <rFont val="標楷體"/>
        <family val="4"/>
        <charset val="136"/>
      </rPr>
      <t>年</t>
    </r>
    <phoneticPr fontId="3" type="noConversion"/>
  </si>
  <si>
    <r>
      <rPr>
        <sz val="12"/>
        <rFont val="標楷體"/>
        <family val="4"/>
        <charset val="136"/>
      </rPr>
      <t>一次請領
老年給付
件數</t>
    </r>
    <r>
      <rPr>
        <sz val="12"/>
        <rFont val="Arial"/>
        <family val="2"/>
      </rPr>
      <t>(</t>
    </r>
    <r>
      <rPr>
        <sz val="12"/>
        <rFont val="標楷體"/>
        <family val="4"/>
        <charset val="136"/>
      </rPr>
      <t>件</t>
    </r>
    <r>
      <rPr>
        <sz val="12"/>
        <rFont val="Arial"/>
        <family val="2"/>
      </rPr>
      <t xml:space="preserve">)
</t>
    </r>
    <r>
      <rPr>
        <sz val="12"/>
        <rFont val="標楷體"/>
        <family val="4"/>
        <charset val="136"/>
      </rPr>
      <t>金額</t>
    </r>
    <r>
      <rPr>
        <sz val="12"/>
        <rFont val="Arial"/>
        <family val="2"/>
      </rPr>
      <t>(</t>
    </r>
    <r>
      <rPr>
        <sz val="12"/>
        <rFont val="標楷體"/>
        <family val="4"/>
        <charset val="136"/>
      </rPr>
      <t>元</t>
    </r>
    <r>
      <rPr>
        <sz val="12"/>
        <rFont val="Arial"/>
        <family val="2"/>
      </rPr>
      <t>)</t>
    </r>
    <phoneticPr fontId="4" type="noConversion"/>
  </si>
  <si>
    <r>
      <rPr>
        <b/>
        <sz val="12"/>
        <rFont val="標楷體"/>
        <family val="4"/>
        <charset val="136"/>
      </rPr>
      <t>金馬地區</t>
    </r>
    <phoneticPr fontId="4" type="noConversion"/>
  </si>
  <si>
    <r>
      <t>65</t>
    </r>
    <r>
      <rPr>
        <sz val="12"/>
        <rFont val="標楷體"/>
        <family val="4"/>
        <charset val="136"/>
      </rPr>
      <t>歲以上</t>
    </r>
    <phoneticPr fontId="4" type="noConversion"/>
  </si>
  <si>
    <r>
      <rPr>
        <sz val="12"/>
        <rFont val="標楷體"/>
        <family val="4"/>
        <charset val="136"/>
      </rPr>
      <t>註：</t>
    </r>
    <r>
      <rPr>
        <sz val="12"/>
        <rFont val="Arial"/>
        <family val="2"/>
      </rPr>
      <t>1.</t>
    </r>
    <r>
      <rPr>
        <sz val="12"/>
        <rFont val="標楷體"/>
        <family val="4"/>
        <charset val="136"/>
      </rPr>
      <t>老年給付平均每件給付金額係扣除勞保條例第</t>
    </r>
    <r>
      <rPr>
        <sz val="12"/>
        <rFont val="Arial"/>
        <family val="2"/>
      </rPr>
      <t>12</t>
    </r>
    <r>
      <rPr>
        <sz val="12"/>
        <rFont val="標楷體"/>
        <family val="4"/>
        <charset val="136"/>
      </rPr>
      <t>條「補發併計年資後老年給付之差額」。
　　</t>
    </r>
    <r>
      <rPr>
        <sz val="12"/>
        <rFont val="Arial"/>
        <family val="2"/>
      </rPr>
      <t>2.98</t>
    </r>
    <r>
      <rPr>
        <sz val="12"/>
        <rFont val="標楷體"/>
        <family val="4"/>
        <charset val="136"/>
      </rPr>
      <t>年起本表不含</t>
    </r>
    <r>
      <rPr>
        <sz val="12"/>
        <rFont val="Arial"/>
        <family val="2"/>
      </rPr>
      <t>98</t>
    </r>
    <r>
      <rPr>
        <sz val="12"/>
        <rFont val="標楷體"/>
        <family val="4"/>
        <charset val="136"/>
      </rPr>
      <t>年勞保條例修正新增之老年一次金、老年差額金及老年年金。</t>
    </r>
    <phoneticPr fontId="3" type="noConversion"/>
  </si>
  <si>
    <r>
      <t>35-39</t>
    </r>
    <r>
      <rPr>
        <sz val="11"/>
        <rFont val="標楷體"/>
        <family val="4"/>
        <charset val="136"/>
      </rPr>
      <t>歲</t>
    </r>
  </si>
  <si>
    <r>
      <t>40-44</t>
    </r>
    <r>
      <rPr>
        <sz val="11"/>
        <rFont val="標楷體"/>
        <family val="4"/>
        <charset val="136"/>
      </rPr>
      <t>歲</t>
    </r>
  </si>
  <si>
    <r>
      <t>45-49</t>
    </r>
    <r>
      <rPr>
        <sz val="11"/>
        <rFont val="標楷體"/>
        <family val="4"/>
        <charset val="136"/>
      </rPr>
      <t>歲</t>
    </r>
  </si>
  <si>
    <r>
      <t>50-54</t>
    </r>
    <r>
      <rPr>
        <sz val="11"/>
        <rFont val="標楷體"/>
        <family val="4"/>
        <charset val="136"/>
      </rPr>
      <t>歲</t>
    </r>
  </si>
  <si>
    <r>
      <t>55-59</t>
    </r>
    <r>
      <rPr>
        <sz val="11"/>
        <rFont val="標楷體"/>
        <family val="4"/>
        <charset val="136"/>
      </rPr>
      <t>歲</t>
    </r>
  </si>
  <si>
    <r>
      <t>60-64</t>
    </r>
    <r>
      <rPr>
        <sz val="11"/>
        <rFont val="標楷體"/>
        <family val="4"/>
        <charset val="136"/>
      </rPr>
      <t>歲</t>
    </r>
  </si>
  <si>
    <r>
      <t>65-69</t>
    </r>
    <r>
      <rPr>
        <sz val="11"/>
        <rFont val="標楷體"/>
        <family val="4"/>
        <charset val="136"/>
      </rPr>
      <t>歲</t>
    </r>
  </si>
  <si>
    <t>勞工保險老年年金給付平均月領金額－按縣市及年齡組別分</t>
    <phoneticPr fontId="4" type="noConversion"/>
  </si>
  <si>
    <r>
      <t>106</t>
    </r>
    <r>
      <rPr>
        <sz val="12"/>
        <rFont val="標楷體"/>
        <family val="4"/>
        <charset val="136"/>
      </rPr>
      <t>年</t>
    </r>
    <phoneticPr fontId="4" type="noConversion"/>
  </si>
  <si>
    <t>勞工保險一次請領老年給付平均給付金額－按縣市及年齡組別分</t>
    <phoneticPr fontId="4" type="noConversion"/>
  </si>
  <si>
    <t>勞工保險老年差額金平均給付金額－按縣市及年齡組別分</t>
    <phoneticPr fontId="4" type="noConversion"/>
  </si>
  <si>
    <t>勞工保險老年一次金平均給付金額－按縣市及年齡組別分</t>
    <phoneticPr fontId="4" type="noConversion"/>
  </si>
  <si>
    <t>平均
給付
金額</t>
    <phoneticPr fontId="4" type="noConversion"/>
  </si>
  <si>
    <t>平均
給付
金額</t>
    <phoneticPr fontId="4" type="noConversion"/>
  </si>
  <si>
    <r>
      <rPr>
        <sz val="12"/>
        <rFont val="標楷體"/>
        <family val="4"/>
        <charset val="136"/>
      </rPr>
      <t>註：</t>
    </r>
    <r>
      <rPr>
        <sz val="12"/>
        <rFont val="Times New Roman"/>
        <family val="1"/>
      </rPr>
      <t xml:space="preserve">1. </t>
    </r>
    <r>
      <rPr>
        <sz val="12"/>
        <rFont val="標楷體"/>
        <family val="4"/>
        <charset val="136"/>
      </rPr>
      <t>老年差額金給付係指被保險人領取老年年金期間死亡，且於勞保年金開辦前有保險年資，得由
　　　符合規定之遺屬，選擇請領「一次請領老年給付扣除已領年金給付總額之差額」。
　　</t>
    </r>
    <r>
      <rPr>
        <sz val="12"/>
        <rFont val="Times New Roman"/>
        <family val="1"/>
      </rPr>
      <t xml:space="preserve">2. </t>
    </r>
    <r>
      <rPr>
        <sz val="12"/>
        <rFont val="標楷體"/>
        <family val="4"/>
        <charset val="136"/>
      </rPr>
      <t>老年差額金給付平均給付金額＝全年核付金額</t>
    </r>
    <r>
      <rPr>
        <sz val="12"/>
        <rFont val="Times New Roman"/>
        <family val="1"/>
      </rPr>
      <t xml:space="preserve"> ÷</t>
    </r>
    <r>
      <rPr>
        <sz val="12"/>
        <rFont val="標楷體"/>
        <family val="4"/>
        <charset val="136"/>
      </rPr>
      <t>全年核付件數。</t>
    </r>
    <phoneticPr fontId="14" type="noConversion"/>
  </si>
  <si>
    <r>
      <rPr>
        <sz val="12"/>
        <rFont val="標楷體"/>
        <family val="4"/>
        <charset val="136"/>
      </rPr>
      <t>註：</t>
    </r>
    <r>
      <rPr>
        <sz val="12"/>
        <rFont val="Times New Roman"/>
        <family val="1"/>
      </rPr>
      <t xml:space="preserve">1. </t>
    </r>
    <r>
      <rPr>
        <sz val="12"/>
        <rFont val="標楷體"/>
        <family val="4"/>
        <charset val="136"/>
      </rPr>
      <t>老年一次金給付係指被保險人年滿</t>
    </r>
    <r>
      <rPr>
        <sz val="12"/>
        <rFont val="Times New Roman"/>
        <family val="1"/>
      </rPr>
      <t>60</t>
    </r>
    <r>
      <rPr>
        <sz val="12"/>
        <rFont val="標楷體"/>
        <family val="4"/>
        <charset val="136"/>
      </rPr>
      <t>歲，保險年資合計未滿</t>
    </r>
    <r>
      <rPr>
        <sz val="12"/>
        <rFont val="Times New Roman"/>
        <family val="1"/>
      </rPr>
      <t>15</t>
    </r>
    <r>
      <rPr>
        <sz val="12"/>
        <rFont val="標楷體"/>
        <family val="4"/>
        <charset val="136"/>
      </rPr>
      <t>年，並辦理離職退保者。請領年
　　　齡自</t>
    </r>
    <r>
      <rPr>
        <sz val="12"/>
        <rFont val="Times New Roman"/>
        <family val="1"/>
      </rPr>
      <t>107</t>
    </r>
    <r>
      <rPr>
        <sz val="12"/>
        <rFont val="標楷體"/>
        <family val="4"/>
        <charset val="136"/>
      </rPr>
      <t>年提高為</t>
    </r>
    <r>
      <rPr>
        <sz val="12"/>
        <rFont val="Times New Roman"/>
        <family val="1"/>
      </rPr>
      <t>61</t>
    </r>
    <r>
      <rPr>
        <sz val="12"/>
        <rFont val="標楷體"/>
        <family val="4"/>
        <charset val="136"/>
      </rPr>
      <t>歲，</t>
    </r>
    <r>
      <rPr>
        <sz val="12"/>
        <rFont val="Times New Roman"/>
        <family val="1"/>
      </rPr>
      <t>109</t>
    </r>
    <r>
      <rPr>
        <sz val="12"/>
        <rFont val="標楷體"/>
        <family val="4"/>
        <charset val="136"/>
      </rPr>
      <t>年為</t>
    </r>
    <r>
      <rPr>
        <sz val="12"/>
        <rFont val="Times New Roman"/>
        <family val="1"/>
      </rPr>
      <t>62</t>
    </r>
    <r>
      <rPr>
        <sz val="12"/>
        <rFont val="標楷體"/>
        <family val="4"/>
        <charset val="136"/>
      </rPr>
      <t>歲，</t>
    </r>
    <r>
      <rPr>
        <sz val="12"/>
        <rFont val="Times New Roman"/>
        <family val="1"/>
      </rPr>
      <t>111</t>
    </r>
    <r>
      <rPr>
        <sz val="12"/>
        <rFont val="標楷體"/>
        <family val="4"/>
        <charset val="136"/>
      </rPr>
      <t>年為</t>
    </r>
    <r>
      <rPr>
        <sz val="12"/>
        <rFont val="Times New Roman"/>
        <family val="1"/>
      </rPr>
      <t>63</t>
    </r>
    <r>
      <rPr>
        <sz val="12"/>
        <rFont val="標楷體"/>
        <family val="4"/>
        <charset val="136"/>
      </rPr>
      <t>歲，</t>
    </r>
    <r>
      <rPr>
        <sz val="12"/>
        <rFont val="Times New Roman"/>
        <family val="1"/>
      </rPr>
      <t>113</t>
    </r>
    <r>
      <rPr>
        <sz val="12"/>
        <rFont val="標楷體"/>
        <family val="4"/>
        <charset val="136"/>
      </rPr>
      <t>年為</t>
    </r>
    <r>
      <rPr>
        <sz val="12"/>
        <rFont val="Times New Roman"/>
        <family val="1"/>
      </rPr>
      <t>64</t>
    </r>
    <r>
      <rPr>
        <sz val="12"/>
        <rFont val="標楷體"/>
        <family val="4"/>
        <charset val="136"/>
      </rPr>
      <t>歲，</t>
    </r>
    <r>
      <rPr>
        <sz val="12"/>
        <rFont val="Times New Roman"/>
        <family val="1"/>
      </rPr>
      <t>115</t>
    </r>
    <r>
      <rPr>
        <sz val="12"/>
        <rFont val="標楷體"/>
        <family val="4"/>
        <charset val="136"/>
      </rPr>
      <t>年以後為</t>
    </r>
    <r>
      <rPr>
        <sz val="12"/>
        <rFont val="Times New Roman"/>
        <family val="1"/>
      </rPr>
      <t>65</t>
    </r>
    <r>
      <rPr>
        <sz val="12"/>
        <rFont val="標楷體"/>
        <family val="4"/>
        <charset val="136"/>
      </rPr>
      <t>歲。給付金
　　　額＝平均月投保薪資</t>
    </r>
    <r>
      <rPr>
        <sz val="12"/>
        <rFont val="Times New Roman"/>
        <family val="1"/>
      </rPr>
      <t xml:space="preserve"> × </t>
    </r>
    <r>
      <rPr>
        <sz val="12"/>
        <rFont val="標楷體"/>
        <family val="4"/>
        <charset val="136"/>
      </rPr>
      <t>給付月數。平均月投保薪資按加保期間最高</t>
    </r>
    <r>
      <rPr>
        <sz val="12"/>
        <rFont val="Times New Roman"/>
        <family val="1"/>
      </rPr>
      <t>60</t>
    </r>
    <r>
      <rPr>
        <sz val="12"/>
        <rFont val="標楷體"/>
        <family val="4"/>
        <charset val="136"/>
      </rPr>
      <t>個月之月投保薪資平均計
　　　算；給付月數按保險年資計算，保險年資合計每滿</t>
    </r>
    <r>
      <rPr>
        <sz val="12"/>
        <rFont val="Times New Roman"/>
        <family val="1"/>
      </rPr>
      <t>1</t>
    </r>
    <r>
      <rPr>
        <sz val="12"/>
        <rFont val="標楷體"/>
        <family val="4"/>
        <charset val="136"/>
      </rPr>
      <t>年發給</t>
    </r>
    <r>
      <rPr>
        <sz val="12"/>
        <rFont val="Times New Roman"/>
        <family val="1"/>
      </rPr>
      <t>1</t>
    </r>
    <r>
      <rPr>
        <sz val="12"/>
        <rFont val="標楷體"/>
        <family val="4"/>
        <charset val="136"/>
      </rPr>
      <t>個月。
　　</t>
    </r>
    <r>
      <rPr>
        <sz val="12"/>
        <rFont val="Times New Roman"/>
        <family val="1"/>
      </rPr>
      <t xml:space="preserve">2. </t>
    </r>
    <r>
      <rPr>
        <sz val="12"/>
        <rFont val="標楷體"/>
        <family val="4"/>
        <charset val="136"/>
      </rPr>
      <t>老年一次金給付部分案件被保險人退保當時投保單位之地區不明，故本表總計包含無法歸類縣
　　　市別之男性</t>
    </r>
    <r>
      <rPr>
        <sz val="12"/>
        <rFont val="Times New Roman"/>
        <family val="1"/>
      </rPr>
      <t>1</t>
    </r>
    <r>
      <rPr>
        <sz val="12"/>
        <rFont val="標楷體"/>
        <family val="4"/>
        <charset val="136"/>
      </rPr>
      <t>件，</t>
    </r>
    <r>
      <rPr>
        <sz val="12"/>
        <rFont val="Times New Roman"/>
        <family val="1"/>
      </rPr>
      <t>2,246</t>
    </r>
    <r>
      <rPr>
        <sz val="12"/>
        <rFont val="標楷體"/>
        <family val="4"/>
        <charset val="136"/>
      </rPr>
      <t>元；女性</t>
    </r>
    <r>
      <rPr>
        <sz val="12"/>
        <rFont val="Times New Roman"/>
        <family val="1"/>
      </rPr>
      <t>0</t>
    </r>
    <r>
      <rPr>
        <sz val="12"/>
        <rFont val="標楷體"/>
        <family val="4"/>
        <charset val="136"/>
      </rPr>
      <t>件，</t>
    </r>
    <r>
      <rPr>
        <sz val="12"/>
        <rFont val="Times New Roman"/>
        <family val="1"/>
      </rPr>
      <t>0</t>
    </r>
    <r>
      <rPr>
        <sz val="12"/>
        <rFont val="標楷體"/>
        <family val="4"/>
        <charset val="136"/>
      </rPr>
      <t>元。
　　</t>
    </r>
    <r>
      <rPr>
        <sz val="12"/>
        <rFont val="Times New Roman"/>
        <family val="1"/>
      </rPr>
      <t xml:space="preserve">3. </t>
    </r>
    <r>
      <rPr>
        <sz val="12"/>
        <rFont val="標楷體"/>
        <family val="4"/>
        <charset val="136"/>
      </rPr>
      <t>老年一次金給付平均給付金額＝全年核付金額</t>
    </r>
    <r>
      <rPr>
        <sz val="12"/>
        <rFont val="Times New Roman"/>
        <family val="1"/>
      </rPr>
      <t xml:space="preserve"> ÷</t>
    </r>
    <r>
      <rPr>
        <sz val="12"/>
        <rFont val="標楷體"/>
        <family val="4"/>
        <charset val="136"/>
      </rPr>
      <t>全年核付件數。</t>
    </r>
    <phoneticPr fontId="14" type="noConversion"/>
  </si>
  <si>
    <t>平均
給付
金額</t>
    <phoneticPr fontId="4" type="noConversion"/>
  </si>
  <si>
    <r>
      <rPr>
        <sz val="12"/>
        <rFont val="標楷體"/>
        <family val="4"/>
        <charset val="136"/>
      </rPr>
      <t>註：</t>
    </r>
    <r>
      <rPr>
        <sz val="12"/>
        <rFont val="Times New Roman"/>
        <family val="1"/>
      </rPr>
      <t xml:space="preserve">1. </t>
    </r>
    <r>
      <rPr>
        <sz val="12"/>
        <rFont val="標楷體"/>
        <family val="4"/>
        <charset val="136"/>
      </rPr>
      <t>一次請領老年給付係指被保險人於</t>
    </r>
    <r>
      <rPr>
        <sz val="12"/>
        <rFont val="Times New Roman"/>
        <family val="1"/>
      </rPr>
      <t>97</t>
    </r>
    <r>
      <rPr>
        <sz val="12"/>
        <rFont val="標楷體"/>
        <family val="4"/>
        <charset val="136"/>
      </rPr>
      <t>年</t>
    </r>
    <r>
      <rPr>
        <sz val="12"/>
        <rFont val="Times New Roman"/>
        <family val="1"/>
      </rPr>
      <t>12</t>
    </r>
    <r>
      <rPr>
        <sz val="12"/>
        <rFont val="標楷體"/>
        <family val="4"/>
        <charset val="136"/>
      </rPr>
      <t>月</t>
    </r>
    <r>
      <rPr>
        <sz val="12"/>
        <rFont val="Times New Roman"/>
        <family val="1"/>
      </rPr>
      <t>31</t>
    </r>
    <r>
      <rPr>
        <sz val="12"/>
        <rFont val="標楷體"/>
        <family val="4"/>
        <charset val="136"/>
      </rPr>
      <t>日前有保險年資者，於符合請領資格時，得選擇
　　　一次請領老年給付。給付金額＝平均月投保薪資</t>
    </r>
    <r>
      <rPr>
        <sz val="9"/>
        <rFont val="Times New Roman"/>
        <family val="1"/>
      </rPr>
      <t xml:space="preserve"> × </t>
    </r>
    <r>
      <rPr>
        <sz val="12"/>
        <rFont val="標楷體"/>
        <family val="4"/>
        <charset val="136"/>
      </rPr>
      <t>給付月數。平均月投保薪資按退保當月起前
　　　</t>
    </r>
    <r>
      <rPr>
        <sz val="12"/>
        <rFont val="Times New Roman"/>
        <family val="1"/>
      </rPr>
      <t>3</t>
    </r>
    <r>
      <rPr>
        <sz val="12"/>
        <rFont val="標楷體"/>
        <family val="4"/>
        <charset val="136"/>
      </rPr>
      <t>年之實際月投保薪資平均計算；給付月數按保險年資計算，保險年資合計每滿</t>
    </r>
    <r>
      <rPr>
        <sz val="12"/>
        <rFont val="Times New Roman"/>
        <family val="1"/>
      </rPr>
      <t>1</t>
    </r>
    <r>
      <rPr>
        <sz val="12"/>
        <rFont val="標楷體"/>
        <family val="4"/>
        <charset val="136"/>
      </rPr>
      <t>年發給</t>
    </r>
    <r>
      <rPr>
        <sz val="12"/>
        <rFont val="Times New Roman"/>
        <family val="1"/>
      </rPr>
      <t>1</t>
    </r>
    <r>
      <rPr>
        <sz val="12"/>
        <rFont val="標楷體"/>
        <family val="4"/>
        <charset val="136"/>
      </rPr>
      <t>個月，
　　　保險年資合計超過</t>
    </r>
    <r>
      <rPr>
        <sz val="12"/>
        <rFont val="Times New Roman"/>
        <family val="1"/>
      </rPr>
      <t>15</t>
    </r>
    <r>
      <rPr>
        <sz val="12"/>
        <rFont val="標楷體"/>
        <family val="4"/>
        <charset val="136"/>
      </rPr>
      <t>年者，每滿</t>
    </r>
    <r>
      <rPr>
        <sz val="12"/>
        <rFont val="Times New Roman"/>
        <family val="1"/>
      </rPr>
      <t>1</t>
    </r>
    <r>
      <rPr>
        <sz val="12"/>
        <rFont val="標楷體"/>
        <family val="4"/>
        <charset val="136"/>
      </rPr>
      <t>年發給</t>
    </r>
    <r>
      <rPr>
        <sz val="12"/>
        <rFont val="Times New Roman"/>
        <family val="1"/>
      </rPr>
      <t>2</t>
    </r>
    <r>
      <rPr>
        <sz val="12"/>
        <rFont val="標楷體"/>
        <family val="4"/>
        <charset val="136"/>
      </rPr>
      <t>個月。
　　</t>
    </r>
    <r>
      <rPr>
        <sz val="12"/>
        <rFont val="Times New Roman"/>
        <family val="1"/>
      </rPr>
      <t xml:space="preserve">2. </t>
    </r>
    <r>
      <rPr>
        <sz val="12"/>
        <rFont val="標楷體"/>
        <family val="4"/>
        <charset val="136"/>
      </rPr>
      <t>一次請領老年給付平均給付金額＝全年核付金額</t>
    </r>
    <r>
      <rPr>
        <sz val="12"/>
        <rFont val="Times New Roman"/>
        <family val="1"/>
      </rPr>
      <t xml:space="preserve"> </t>
    </r>
    <r>
      <rPr>
        <sz val="12"/>
        <rFont val="標楷體"/>
        <family val="4"/>
        <charset val="136"/>
      </rPr>
      <t>÷全年核付件數。</t>
    </r>
    <phoneticPr fontId="14" type="noConversion"/>
  </si>
  <si>
    <r>
      <rPr>
        <sz val="12"/>
        <rFont val="標楷體"/>
        <family val="4"/>
        <charset val="136"/>
      </rPr>
      <t>註：</t>
    </r>
    <r>
      <rPr>
        <sz val="12"/>
        <rFont val="Times New Roman"/>
        <family val="1"/>
      </rPr>
      <t xml:space="preserve">1. </t>
    </r>
    <r>
      <rPr>
        <sz val="12"/>
        <rFont val="標楷體"/>
        <family val="4"/>
        <charset val="136"/>
      </rPr>
      <t>老年一次金給付係指被保險人年滿</t>
    </r>
    <r>
      <rPr>
        <sz val="12"/>
        <rFont val="Times New Roman"/>
        <family val="1"/>
      </rPr>
      <t>60</t>
    </r>
    <r>
      <rPr>
        <sz val="12"/>
        <rFont val="標楷體"/>
        <family val="4"/>
        <charset val="136"/>
      </rPr>
      <t>歲，保險年資合計未滿</t>
    </r>
    <r>
      <rPr>
        <sz val="12"/>
        <rFont val="Times New Roman"/>
        <family val="1"/>
      </rPr>
      <t>15</t>
    </r>
    <r>
      <rPr>
        <sz val="12"/>
        <rFont val="標楷體"/>
        <family val="4"/>
        <charset val="136"/>
      </rPr>
      <t>年，並辦理離職退保者。請領年
　　　齡自</t>
    </r>
    <r>
      <rPr>
        <sz val="12"/>
        <rFont val="Times New Roman"/>
        <family val="1"/>
      </rPr>
      <t>107</t>
    </r>
    <r>
      <rPr>
        <sz val="12"/>
        <rFont val="標楷體"/>
        <family val="4"/>
        <charset val="136"/>
      </rPr>
      <t>年提高為</t>
    </r>
    <r>
      <rPr>
        <sz val="12"/>
        <rFont val="Times New Roman"/>
        <family val="1"/>
      </rPr>
      <t>61</t>
    </r>
    <r>
      <rPr>
        <sz val="12"/>
        <rFont val="標楷體"/>
        <family val="4"/>
        <charset val="136"/>
      </rPr>
      <t>歲，</t>
    </r>
    <r>
      <rPr>
        <sz val="12"/>
        <rFont val="Times New Roman"/>
        <family val="1"/>
      </rPr>
      <t>109</t>
    </r>
    <r>
      <rPr>
        <sz val="12"/>
        <rFont val="標楷體"/>
        <family val="4"/>
        <charset val="136"/>
      </rPr>
      <t>年為</t>
    </r>
    <r>
      <rPr>
        <sz val="12"/>
        <rFont val="Times New Roman"/>
        <family val="1"/>
      </rPr>
      <t>62</t>
    </r>
    <r>
      <rPr>
        <sz val="12"/>
        <rFont val="標楷體"/>
        <family val="4"/>
        <charset val="136"/>
      </rPr>
      <t>歲，</t>
    </r>
    <r>
      <rPr>
        <sz val="12"/>
        <rFont val="Times New Roman"/>
        <family val="1"/>
      </rPr>
      <t>111</t>
    </r>
    <r>
      <rPr>
        <sz val="12"/>
        <rFont val="標楷體"/>
        <family val="4"/>
        <charset val="136"/>
      </rPr>
      <t>年為</t>
    </r>
    <r>
      <rPr>
        <sz val="12"/>
        <rFont val="Times New Roman"/>
        <family val="1"/>
      </rPr>
      <t>63</t>
    </r>
    <r>
      <rPr>
        <sz val="12"/>
        <rFont val="標楷體"/>
        <family val="4"/>
        <charset val="136"/>
      </rPr>
      <t>歲，</t>
    </r>
    <r>
      <rPr>
        <sz val="12"/>
        <rFont val="Times New Roman"/>
        <family val="1"/>
      </rPr>
      <t>113</t>
    </r>
    <r>
      <rPr>
        <sz val="12"/>
        <rFont val="標楷體"/>
        <family val="4"/>
        <charset val="136"/>
      </rPr>
      <t>年為</t>
    </r>
    <r>
      <rPr>
        <sz val="12"/>
        <rFont val="Times New Roman"/>
        <family val="1"/>
      </rPr>
      <t>64</t>
    </r>
    <r>
      <rPr>
        <sz val="12"/>
        <rFont val="標楷體"/>
        <family val="4"/>
        <charset val="136"/>
      </rPr>
      <t>歲，</t>
    </r>
    <r>
      <rPr>
        <sz val="12"/>
        <rFont val="Times New Roman"/>
        <family val="1"/>
      </rPr>
      <t>115</t>
    </r>
    <r>
      <rPr>
        <sz val="12"/>
        <rFont val="標楷體"/>
        <family val="4"/>
        <charset val="136"/>
      </rPr>
      <t>年以後為</t>
    </r>
    <r>
      <rPr>
        <sz val="12"/>
        <rFont val="Times New Roman"/>
        <family val="1"/>
      </rPr>
      <t>65</t>
    </r>
    <r>
      <rPr>
        <sz val="12"/>
        <rFont val="標楷體"/>
        <family val="4"/>
        <charset val="136"/>
      </rPr>
      <t>歲。給付金
　　　額＝平均月投保薪資</t>
    </r>
    <r>
      <rPr>
        <sz val="12"/>
        <rFont val="Times New Roman"/>
        <family val="1"/>
      </rPr>
      <t xml:space="preserve"> × </t>
    </r>
    <r>
      <rPr>
        <sz val="12"/>
        <rFont val="標楷體"/>
        <family val="4"/>
        <charset val="136"/>
      </rPr>
      <t>給付月數。平均月投保薪資按加保期間最高</t>
    </r>
    <r>
      <rPr>
        <sz val="12"/>
        <rFont val="Times New Roman"/>
        <family val="1"/>
      </rPr>
      <t>60</t>
    </r>
    <r>
      <rPr>
        <sz val="12"/>
        <rFont val="標楷體"/>
        <family val="4"/>
        <charset val="136"/>
      </rPr>
      <t>個月之月投保薪資平均計
　　　算；給付月數按保險年資計算，保險年資合計每滿</t>
    </r>
    <r>
      <rPr>
        <sz val="12"/>
        <rFont val="Times New Roman"/>
        <family val="1"/>
      </rPr>
      <t>1</t>
    </r>
    <r>
      <rPr>
        <sz val="12"/>
        <rFont val="標楷體"/>
        <family val="4"/>
        <charset val="136"/>
      </rPr>
      <t>年發給</t>
    </r>
    <r>
      <rPr>
        <sz val="12"/>
        <rFont val="Times New Roman"/>
        <family val="1"/>
      </rPr>
      <t>1</t>
    </r>
    <r>
      <rPr>
        <sz val="12"/>
        <rFont val="標楷體"/>
        <family val="4"/>
        <charset val="136"/>
      </rPr>
      <t>個月。
　　</t>
    </r>
    <r>
      <rPr>
        <sz val="12"/>
        <rFont val="Times New Roman"/>
        <family val="1"/>
      </rPr>
      <t xml:space="preserve">2. </t>
    </r>
    <r>
      <rPr>
        <sz val="12"/>
        <rFont val="標楷體"/>
        <family val="4"/>
        <charset val="136"/>
      </rPr>
      <t>老年一次金給付部分案件被保險人退保當時投保單位之地區不明，故本表總計包含無法歸類縣
　　　市別之男性</t>
    </r>
    <r>
      <rPr>
        <sz val="12"/>
        <rFont val="Times New Roman"/>
        <family val="1"/>
      </rPr>
      <t>0</t>
    </r>
    <r>
      <rPr>
        <sz val="12"/>
        <rFont val="標楷體"/>
        <family val="4"/>
        <charset val="136"/>
      </rPr>
      <t>件，</t>
    </r>
    <r>
      <rPr>
        <sz val="12"/>
        <rFont val="Times New Roman"/>
        <family val="1"/>
      </rPr>
      <t>0</t>
    </r>
    <r>
      <rPr>
        <sz val="12"/>
        <rFont val="標楷體"/>
        <family val="4"/>
        <charset val="136"/>
      </rPr>
      <t>元；女性</t>
    </r>
    <r>
      <rPr>
        <sz val="12"/>
        <rFont val="Times New Roman"/>
        <family val="1"/>
      </rPr>
      <t>2</t>
    </r>
    <r>
      <rPr>
        <sz val="12"/>
        <rFont val="標楷體"/>
        <family val="4"/>
        <charset val="136"/>
      </rPr>
      <t>件，</t>
    </r>
    <r>
      <rPr>
        <sz val="12"/>
        <rFont val="Times New Roman"/>
        <family val="1"/>
      </rPr>
      <t>10,276</t>
    </r>
    <r>
      <rPr>
        <sz val="12"/>
        <rFont val="標楷體"/>
        <family val="4"/>
        <charset val="136"/>
      </rPr>
      <t>元。
　　</t>
    </r>
    <r>
      <rPr>
        <sz val="12"/>
        <rFont val="Times New Roman"/>
        <family val="1"/>
      </rPr>
      <t xml:space="preserve">3. </t>
    </r>
    <r>
      <rPr>
        <sz val="12"/>
        <rFont val="標楷體"/>
        <family val="4"/>
        <charset val="136"/>
      </rPr>
      <t>老年一次金給付平均給付金額＝全年核付金額</t>
    </r>
    <r>
      <rPr>
        <sz val="12"/>
        <rFont val="Times New Roman"/>
        <family val="1"/>
      </rPr>
      <t xml:space="preserve"> ÷</t>
    </r>
    <r>
      <rPr>
        <sz val="12"/>
        <rFont val="標楷體"/>
        <family val="4"/>
        <charset val="136"/>
      </rPr>
      <t>全年核付件數。</t>
    </r>
    <phoneticPr fontId="14" type="noConversion"/>
  </si>
  <si>
    <r>
      <rPr>
        <sz val="12"/>
        <rFont val="標楷體"/>
        <family val="4"/>
        <charset val="136"/>
      </rPr>
      <t>註：</t>
    </r>
    <r>
      <rPr>
        <sz val="12"/>
        <rFont val="Times New Roman"/>
        <family val="1"/>
      </rPr>
      <t xml:space="preserve">1. </t>
    </r>
    <r>
      <rPr>
        <sz val="12"/>
        <rFont val="標楷體"/>
        <family val="4"/>
        <charset val="136"/>
      </rPr>
      <t>一次請領老年給付係指被保險人於</t>
    </r>
    <r>
      <rPr>
        <sz val="12"/>
        <rFont val="Times New Roman"/>
        <family val="1"/>
      </rPr>
      <t>97</t>
    </r>
    <r>
      <rPr>
        <sz val="12"/>
        <rFont val="標楷體"/>
        <family val="4"/>
        <charset val="136"/>
      </rPr>
      <t>年</t>
    </r>
    <r>
      <rPr>
        <sz val="12"/>
        <rFont val="Times New Roman"/>
        <family val="1"/>
      </rPr>
      <t>12</t>
    </r>
    <r>
      <rPr>
        <sz val="12"/>
        <rFont val="標楷體"/>
        <family val="4"/>
        <charset val="136"/>
      </rPr>
      <t>月</t>
    </r>
    <r>
      <rPr>
        <sz val="12"/>
        <rFont val="Times New Roman"/>
        <family val="1"/>
      </rPr>
      <t>31</t>
    </r>
    <r>
      <rPr>
        <sz val="12"/>
        <rFont val="標楷體"/>
        <family val="4"/>
        <charset val="136"/>
      </rPr>
      <t>日前有保險年資者，於符合請領資格時，得選擇
　　　一次請領老年給付。給付金額＝平均月投保薪資</t>
    </r>
    <r>
      <rPr>
        <sz val="9"/>
        <rFont val="Times New Roman"/>
        <family val="1"/>
      </rPr>
      <t xml:space="preserve"> × </t>
    </r>
    <r>
      <rPr>
        <sz val="12"/>
        <rFont val="標楷體"/>
        <family val="4"/>
        <charset val="136"/>
      </rPr>
      <t>給付月數。平均月投保薪資按退保當月起前
　　　</t>
    </r>
    <r>
      <rPr>
        <sz val="12"/>
        <rFont val="Times New Roman"/>
        <family val="1"/>
      </rPr>
      <t>3</t>
    </r>
    <r>
      <rPr>
        <sz val="12"/>
        <rFont val="標楷體"/>
        <family val="4"/>
        <charset val="136"/>
      </rPr>
      <t>年之實際月投保薪資平均計算；給付月數按保險年資計算，保險年資合計每滿</t>
    </r>
    <r>
      <rPr>
        <sz val="12"/>
        <rFont val="Times New Roman"/>
        <family val="1"/>
      </rPr>
      <t>1</t>
    </r>
    <r>
      <rPr>
        <sz val="12"/>
        <rFont val="標楷體"/>
        <family val="4"/>
        <charset val="136"/>
      </rPr>
      <t>年發給</t>
    </r>
    <r>
      <rPr>
        <sz val="12"/>
        <rFont val="Times New Roman"/>
        <family val="1"/>
      </rPr>
      <t>1</t>
    </r>
    <r>
      <rPr>
        <sz val="12"/>
        <rFont val="標楷體"/>
        <family val="4"/>
        <charset val="136"/>
      </rPr>
      <t>個月，
　　　保險年資合計超過</t>
    </r>
    <r>
      <rPr>
        <sz val="12"/>
        <rFont val="Times New Roman"/>
        <family val="1"/>
      </rPr>
      <t>15</t>
    </r>
    <r>
      <rPr>
        <sz val="12"/>
        <rFont val="標楷體"/>
        <family val="4"/>
        <charset val="136"/>
      </rPr>
      <t>年者，每滿</t>
    </r>
    <r>
      <rPr>
        <sz val="12"/>
        <rFont val="Times New Roman"/>
        <family val="1"/>
      </rPr>
      <t>1</t>
    </r>
    <r>
      <rPr>
        <sz val="12"/>
        <rFont val="標楷體"/>
        <family val="4"/>
        <charset val="136"/>
      </rPr>
      <t>年發給</t>
    </r>
    <r>
      <rPr>
        <sz val="12"/>
        <rFont val="Times New Roman"/>
        <family val="1"/>
      </rPr>
      <t>2</t>
    </r>
    <r>
      <rPr>
        <sz val="12"/>
        <rFont val="標楷體"/>
        <family val="4"/>
        <charset val="136"/>
      </rPr>
      <t>個月。
　　</t>
    </r>
    <r>
      <rPr>
        <sz val="12"/>
        <rFont val="Times New Roman"/>
        <family val="1"/>
      </rPr>
      <t xml:space="preserve">2. </t>
    </r>
    <r>
      <rPr>
        <sz val="12"/>
        <rFont val="標楷體"/>
        <family val="4"/>
        <charset val="136"/>
      </rPr>
      <t>一次請領老年給付平均給付金額＝全年核付金額</t>
    </r>
    <r>
      <rPr>
        <sz val="12"/>
        <rFont val="Times New Roman"/>
        <family val="1"/>
      </rPr>
      <t xml:space="preserve"> ÷</t>
    </r>
    <r>
      <rPr>
        <sz val="12"/>
        <rFont val="標楷體"/>
        <family val="4"/>
        <charset val="136"/>
      </rPr>
      <t>全年核付件數。</t>
    </r>
    <phoneticPr fontId="14" type="noConversion"/>
  </si>
  <si>
    <r>
      <rPr>
        <sz val="12"/>
        <rFont val="標楷體"/>
        <family val="4"/>
        <charset val="136"/>
      </rPr>
      <t>註：</t>
    </r>
    <r>
      <rPr>
        <sz val="12"/>
        <rFont val="Times New Roman"/>
        <family val="1"/>
      </rPr>
      <t>1.</t>
    </r>
    <r>
      <rPr>
        <sz val="12"/>
        <rFont val="標楷體"/>
        <family val="4"/>
        <charset val="136"/>
      </rPr>
      <t>老年一次金給付係指被保險人年滿</t>
    </r>
    <r>
      <rPr>
        <sz val="12"/>
        <rFont val="Times New Roman"/>
        <family val="1"/>
      </rPr>
      <t>60</t>
    </r>
    <r>
      <rPr>
        <sz val="12"/>
        <rFont val="標楷體"/>
        <family val="4"/>
        <charset val="136"/>
      </rPr>
      <t>歲，保險年資合計未滿</t>
    </r>
    <r>
      <rPr>
        <sz val="12"/>
        <rFont val="Times New Roman"/>
        <family val="1"/>
      </rPr>
      <t>15</t>
    </r>
    <r>
      <rPr>
        <sz val="12"/>
        <rFont val="標楷體"/>
        <family val="4"/>
        <charset val="136"/>
      </rPr>
      <t>年，並辦理離職退保者。請領年</t>
    </r>
    <r>
      <rPr>
        <sz val="12"/>
        <rFont val="Times New Roman"/>
        <family val="1"/>
      </rPr>
      <t xml:space="preserve">
</t>
    </r>
    <r>
      <rPr>
        <sz val="12"/>
        <rFont val="標楷體"/>
        <family val="4"/>
        <charset val="136"/>
      </rPr>
      <t>　　　齡</t>
    </r>
    <r>
      <rPr>
        <sz val="12"/>
        <rFont val="Times New Roman"/>
        <family val="1"/>
      </rPr>
      <t>107</t>
    </r>
    <r>
      <rPr>
        <sz val="12"/>
        <rFont val="標楷體"/>
        <family val="4"/>
        <charset val="136"/>
      </rPr>
      <t>年為</t>
    </r>
    <r>
      <rPr>
        <sz val="12"/>
        <rFont val="Times New Roman"/>
        <family val="1"/>
      </rPr>
      <t>61</t>
    </r>
    <r>
      <rPr>
        <sz val="12"/>
        <rFont val="標楷體"/>
        <family val="4"/>
        <charset val="136"/>
      </rPr>
      <t>歲，</t>
    </r>
    <r>
      <rPr>
        <sz val="12"/>
        <rFont val="Times New Roman"/>
        <family val="1"/>
      </rPr>
      <t>109</t>
    </r>
    <r>
      <rPr>
        <sz val="12"/>
        <rFont val="標楷體"/>
        <family val="4"/>
        <charset val="136"/>
      </rPr>
      <t>年為</t>
    </r>
    <r>
      <rPr>
        <sz val="12"/>
        <rFont val="Times New Roman"/>
        <family val="1"/>
      </rPr>
      <t>62</t>
    </r>
    <r>
      <rPr>
        <sz val="12"/>
        <rFont val="標楷體"/>
        <family val="4"/>
        <charset val="136"/>
      </rPr>
      <t>歲，</t>
    </r>
    <r>
      <rPr>
        <sz val="12"/>
        <rFont val="Times New Roman"/>
        <family val="1"/>
      </rPr>
      <t>111</t>
    </r>
    <r>
      <rPr>
        <sz val="12"/>
        <rFont val="標楷體"/>
        <family val="4"/>
        <charset val="136"/>
      </rPr>
      <t>年為</t>
    </r>
    <r>
      <rPr>
        <sz val="12"/>
        <rFont val="Times New Roman"/>
        <family val="1"/>
      </rPr>
      <t>63</t>
    </r>
    <r>
      <rPr>
        <sz val="12"/>
        <rFont val="標楷體"/>
        <family val="4"/>
        <charset val="136"/>
      </rPr>
      <t>歲，</t>
    </r>
    <r>
      <rPr>
        <sz val="12"/>
        <rFont val="Times New Roman"/>
        <family val="1"/>
      </rPr>
      <t>113</t>
    </r>
    <r>
      <rPr>
        <sz val="12"/>
        <rFont val="標楷體"/>
        <family val="4"/>
        <charset val="136"/>
      </rPr>
      <t>年為</t>
    </r>
    <r>
      <rPr>
        <sz val="12"/>
        <rFont val="Times New Roman"/>
        <family val="1"/>
      </rPr>
      <t>64</t>
    </r>
    <r>
      <rPr>
        <sz val="12"/>
        <rFont val="標楷體"/>
        <family val="4"/>
        <charset val="136"/>
      </rPr>
      <t>歲，</t>
    </r>
    <r>
      <rPr>
        <sz val="12"/>
        <rFont val="Times New Roman"/>
        <family val="1"/>
      </rPr>
      <t>115</t>
    </r>
    <r>
      <rPr>
        <sz val="12"/>
        <rFont val="標楷體"/>
        <family val="4"/>
        <charset val="136"/>
      </rPr>
      <t>年以後為</t>
    </r>
    <r>
      <rPr>
        <sz val="12"/>
        <rFont val="Times New Roman"/>
        <family val="1"/>
      </rPr>
      <t>65</t>
    </r>
    <r>
      <rPr>
        <sz val="12"/>
        <rFont val="標楷體"/>
        <family val="4"/>
        <charset val="136"/>
      </rPr>
      <t>歲。給付金額＝平
　　　均月投保薪資</t>
    </r>
    <r>
      <rPr>
        <sz val="12"/>
        <rFont val="Times New Roman"/>
        <family val="1"/>
      </rPr>
      <t xml:space="preserve"> </t>
    </r>
    <r>
      <rPr>
        <sz val="12"/>
        <rFont val="標楷體"/>
        <family val="4"/>
        <charset val="136"/>
      </rPr>
      <t>×</t>
    </r>
    <r>
      <rPr>
        <sz val="12"/>
        <rFont val="Times New Roman"/>
        <family val="1"/>
      </rPr>
      <t xml:space="preserve"> </t>
    </r>
    <r>
      <rPr>
        <sz val="12"/>
        <rFont val="標楷體"/>
        <family val="4"/>
        <charset val="136"/>
      </rPr>
      <t>給付月數。平均月投保薪資按加保期間最高</t>
    </r>
    <r>
      <rPr>
        <sz val="12"/>
        <rFont val="Times New Roman"/>
        <family val="1"/>
      </rPr>
      <t>60</t>
    </r>
    <r>
      <rPr>
        <sz val="12"/>
        <rFont val="標楷體"/>
        <family val="4"/>
        <charset val="136"/>
      </rPr>
      <t>個月之月投保薪資平均計算；給
　　　付月數按保險年資計算，保險年資合計每滿</t>
    </r>
    <r>
      <rPr>
        <sz val="12"/>
        <rFont val="Times New Roman"/>
        <family val="1"/>
      </rPr>
      <t>1</t>
    </r>
    <r>
      <rPr>
        <sz val="12"/>
        <rFont val="標楷體"/>
        <family val="4"/>
        <charset val="136"/>
      </rPr>
      <t>年發給</t>
    </r>
    <r>
      <rPr>
        <sz val="12"/>
        <rFont val="Times New Roman"/>
        <family val="1"/>
      </rPr>
      <t>1</t>
    </r>
    <r>
      <rPr>
        <sz val="12"/>
        <rFont val="標楷體"/>
        <family val="4"/>
        <charset val="136"/>
      </rPr>
      <t>個月。
　　</t>
    </r>
    <r>
      <rPr>
        <sz val="12"/>
        <rFont val="Times New Roman"/>
        <family val="1"/>
      </rPr>
      <t>2.</t>
    </r>
    <r>
      <rPr>
        <sz val="12"/>
        <rFont val="標楷體"/>
        <family val="4"/>
        <charset val="136"/>
      </rPr>
      <t>老年一次金給付總計包含無法歸類縣市別之男性</t>
    </r>
    <r>
      <rPr>
        <sz val="12"/>
        <rFont val="Times New Roman"/>
        <family val="1"/>
      </rPr>
      <t>1</t>
    </r>
    <r>
      <rPr>
        <sz val="12"/>
        <rFont val="標楷體"/>
        <family val="4"/>
        <charset val="136"/>
      </rPr>
      <t>人，</t>
    </r>
    <r>
      <rPr>
        <sz val="12"/>
        <rFont val="Times New Roman"/>
        <family val="1"/>
      </rPr>
      <t>10,608</t>
    </r>
    <r>
      <rPr>
        <sz val="12"/>
        <rFont val="標楷體"/>
        <family val="4"/>
        <charset val="136"/>
      </rPr>
      <t>元；女性</t>
    </r>
    <r>
      <rPr>
        <sz val="12"/>
        <rFont val="Times New Roman"/>
        <family val="1"/>
      </rPr>
      <t>4</t>
    </r>
    <r>
      <rPr>
        <sz val="12"/>
        <rFont val="標楷體"/>
        <family val="4"/>
        <charset val="136"/>
      </rPr>
      <t>人，</t>
    </r>
    <r>
      <rPr>
        <sz val="12"/>
        <rFont val="Times New Roman"/>
        <family val="1"/>
      </rPr>
      <t>13,830</t>
    </r>
    <r>
      <rPr>
        <sz val="12"/>
        <rFont val="標楷體"/>
        <family val="4"/>
        <charset val="136"/>
      </rPr>
      <t>元。
　　</t>
    </r>
    <r>
      <rPr>
        <sz val="12"/>
        <rFont val="Times New Roman"/>
        <family val="1"/>
      </rPr>
      <t>3.</t>
    </r>
    <r>
      <rPr>
        <sz val="12"/>
        <rFont val="標楷體"/>
        <family val="4"/>
        <charset val="136"/>
      </rPr>
      <t>老年一次金給付平均給付金額＝全年核付金額</t>
    </r>
    <r>
      <rPr>
        <sz val="12"/>
        <rFont val="Times New Roman"/>
        <family val="1"/>
      </rPr>
      <t xml:space="preserve"> ÷</t>
    </r>
    <r>
      <rPr>
        <sz val="12"/>
        <rFont val="標楷體"/>
        <family val="4"/>
        <charset val="136"/>
      </rPr>
      <t>全年核付件數。</t>
    </r>
    <phoneticPr fontId="14" type="noConversion"/>
  </si>
  <si>
    <r>
      <rPr>
        <sz val="12"/>
        <rFont val="標楷體"/>
        <family val="4"/>
        <charset val="136"/>
      </rPr>
      <t>註：</t>
    </r>
    <r>
      <rPr>
        <sz val="12"/>
        <rFont val="Times New Roman"/>
        <family val="1"/>
      </rPr>
      <t>1.</t>
    </r>
    <r>
      <rPr>
        <sz val="12"/>
        <rFont val="標楷體"/>
        <family val="4"/>
        <charset val="136"/>
      </rPr>
      <t>老年一次金給付係指被保險人年滿</t>
    </r>
    <r>
      <rPr>
        <sz val="12"/>
        <rFont val="Times New Roman"/>
        <family val="1"/>
      </rPr>
      <t>60</t>
    </r>
    <r>
      <rPr>
        <sz val="12"/>
        <rFont val="標楷體"/>
        <family val="4"/>
        <charset val="136"/>
      </rPr>
      <t>歲，保險年資合計未滿</t>
    </r>
    <r>
      <rPr>
        <sz val="12"/>
        <rFont val="Times New Roman"/>
        <family val="1"/>
      </rPr>
      <t>15</t>
    </r>
    <r>
      <rPr>
        <sz val="12"/>
        <rFont val="標楷體"/>
        <family val="4"/>
        <charset val="136"/>
      </rPr>
      <t>年，並辦理離職退保者。請領年
　　　齡自</t>
    </r>
    <r>
      <rPr>
        <sz val="12"/>
        <rFont val="Times New Roman"/>
        <family val="1"/>
      </rPr>
      <t>107</t>
    </r>
    <r>
      <rPr>
        <sz val="12"/>
        <rFont val="標楷體"/>
        <family val="4"/>
        <charset val="136"/>
      </rPr>
      <t>年提高為</t>
    </r>
    <r>
      <rPr>
        <sz val="12"/>
        <rFont val="Times New Roman"/>
        <family val="1"/>
      </rPr>
      <t>61</t>
    </r>
    <r>
      <rPr>
        <sz val="12"/>
        <rFont val="標楷體"/>
        <family val="4"/>
        <charset val="136"/>
      </rPr>
      <t>歲，</t>
    </r>
    <r>
      <rPr>
        <sz val="12"/>
        <rFont val="Times New Roman"/>
        <family val="1"/>
      </rPr>
      <t>109</t>
    </r>
    <r>
      <rPr>
        <sz val="12"/>
        <rFont val="標楷體"/>
        <family val="4"/>
        <charset val="136"/>
      </rPr>
      <t>年為</t>
    </r>
    <r>
      <rPr>
        <sz val="12"/>
        <rFont val="Times New Roman"/>
        <family val="1"/>
      </rPr>
      <t>62</t>
    </r>
    <r>
      <rPr>
        <sz val="12"/>
        <rFont val="標楷體"/>
        <family val="4"/>
        <charset val="136"/>
      </rPr>
      <t>歲，</t>
    </r>
    <r>
      <rPr>
        <sz val="12"/>
        <rFont val="Times New Roman"/>
        <family val="1"/>
      </rPr>
      <t>111</t>
    </r>
    <r>
      <rPr>
        <sz val="12"/>
        <rFont val="標楷體"/>
        <family val="4"/>
        <charset val="136"/>
      </rPr>
      <t>年為</t>
    </r>
    <r>
      <rPr>
        <sz val="12"/>
        <rFont val="Times New Roman"/>
        <family val="1"/>
      </rPr>
      <t>63</t>
    </r>
    <r>
      <rPr>
        <sz val="12"/>
        <rFont val="標楷體"/>
        <family val="4"/>
        <charset val="136"/>
      </rPr>
      <t>歲，</t>
    </r>
    <r>
      <rPr>
        <sz val="12"/>
        <rFont val="Times New Roman"/>
        <family val="1"/>
      </rPr>
      <t>113</t>
    </r>
    <r>
      <rPr>
        <sz val="12"/>
        <rFont val="標楷體"/>
        <family val="4"/>
        <charset val="136"/>
      </rPr>
      <t>年為</t>
    </r>
    <r>
      <rPr>
        <sz val="12"/>
        <rFont val="Times New Roman"/>
        <family val="1"/>
      </rPr>
      <t>64</t>
    </r>
    <r>
      <rPr>
        <sz val="12"/>
        <rFont val="標楷體"/>
        <family val="4"/>
        <charset val="136"/>
      </rPr>
      <t>歲，</t>
    </r>
    <r>
      <rPr>
        <sz val="12"/>
        <rFont val="Times New Roman"/>
        <family val="1"/>
      </rPr>
      <t>115</t>
    </r>
    <r>
      <rPr>
        <sz val="12"/>
        <rFont val="標楷體"/>
        <family val="4"/>
        <charset val="136"/>
      </rPr>
      <t>年以後為</t>
    </r>
    <r>
      <rPr>
        <sz val="12"/>
        <rFont val="Times New Roman"/>
        <family val="1"/>
      </rPr>
      <t>65</t>
    </r>
    <r>
      <rPr>
        <sz val="12"/>
        <rFont val="標楷體"/>
        <family val="4"/>
        <charset val="136"/>
      </rPr>
      <t>歲。給付金
　　　額＝平均月投保薪資</t>
    </r>
    <r>
      <rPr>
        <sz val="12"/>
        <rFont val="Times New Roman"/>
        <family val="1"/>
      </rPr>
      <t xml:space="preserve"> </t>
    </r>
    <r>
      <rPr>
        <sz val="12"/>
        <rFont val="標楷體"/>
        <family val="4"/>
        <charset val="136"/>
      </rPr>
      <t>×</t>
    </r>
    <r>
      <rPr>
        <sz val="12"/>
        <rFont val="Times New Roman"/>
        <family val="1"/>
      </rPr>
      <t xml:space="preserve"> </t>
    </r>
    <r>
      <rPr>
        <sz val="12"/>
        <rFont val="標楷體"/>
        <family val="4"/>
        <charset val="136"/>
      </rPr>
      <t>給付月數。平均月投保薪資按加保期間最高</t>
    </r>
    <r>
      <rPr>
        <sz val="12"/>
        <rFont val="Times New Roman"/>
        <family val="1"/>
      </rPr>
      <t>60</t>
    </r>
    <r>
      <rPr>
        <sz val="12"/>
        <rFont val="標楷體"/>
        <family val="4"/>
        <charset val="136"/>
      </rPr>
      <t>個月之月投保薪資平均計
　　　算；給付月數按保險年資計算，保險年資合計每滿</t>
    </r>
    <r>
      <rPr>
        <sz val="12"/>
        <rFont val="Times New Roman"/>
        <family val="1"/>
      </rPr>
      <t>1</t>
    </r>
    <r>
      <rPr>
        <sz val="12"/>
        <rFont val="標楷體"/>
        <family val="4"/>
        <charset val="136"/>
      </rPr>
      <t>年發給</t>
    </r>
    <r>
      <rPr>
        <sz val="12"/>
        <rFont val="Times New Roman"/>
        <family val="1"/>
      </rPr>
      <t>1</t>
    </r>
    <r>
      <rPr>
        <sz val="12"/>
        <rFont val="標楷體"/>
        <family val="4"/>
        <charset val="136"/>
      </rPr>
      <t>個月。
　　</t>
    </r>
    <r>
      <rPr>
        <sz val="12"/>
        <rFont val="Times New Roman"/>
        <family val="1"/>
      </rPr>
      <t>2.</t>
    </r>
    <r>
      <rPr>
        <sz val="12"/>
        <rFont val="標楷體"/>
        <family val="4"/>
        <charset val="136"/>
      </rPr>
      <t>老年一次金給付總計包含無法歸類縣市別之男性</t>
    </r>
    <r>
      <rPr>
        <sz val="12"/>
        <rFont val="Times New Roman"/>
        <family val="1"/>
      </rPr>
      <t>0</t>
    </r>
    <r>
      <rPr>
        <sz val="12"/>
        <rFont val="標楷體"/>
        <family val="4"/>
        <charset val="136"/>
      </rPr>
      <t>人，</t>
    </r>
    <r>
      <rPr>
        <sz val="12"/>
        <rFont val="Times New Roman"/>
        <family val="1"/>
      </rPr>
      <t>0</t>
    </r>
    <r>
      <rPr>
        <sz val="12"/>
        <rFont val="標楷體"/>
        <family val="4"/>
        <charset val="136"/>
      </rPr>
      <t>元；女性</t>
    </r>
    <r>
      <rPr>
        <sz val="12"/>
        <rFont val="Times New Roman"/>
        <family val="1"/>
      </rPr>
      <t>4</t>
    </r>
    <r>
      <rPr>
        <sz val="12"/>
        <rFont val="標楷體"/>
        <family val="4"/>
        <charset val="136"/>
      </rPr>
      <t>人，</t>
    </r>
    <r>
      <rPr>
        <sz val="12"/>
        <rFont val="Times New Roman"/>
        <family val="1"/>
      </rPr>
      <t>3,147</t>
    </r>
    <r>
      <rPr>
        <sz val="12"/>
        <rFont val="標楷體"/>
        <family val="4"/>
        <charset val="136"/>
      </rPr>
      <t>元。
　　</t>
    </r>
    <r>
      <rPr>
        <sz val="12"/>
        <rFont val="Times New Roman"/>
        <family val="1"/>
      </rPr>
      <t>3.</t>
    </r>
    <r>
      <rPr>
        <sz val="12"/>
        <rFont val="標楷體"/>
        <family val="4"/>
        <charset val="136"/>
      </rPr>
      <t>老年一次金給付平均給付金額＝全年核付金額</t>
    </r>
    <r>
      <rPr>
        <sz val="12"/>
        <rFont val="Times New Roman"/>
        <family val="1"/>
      </rPr>
      <t xml:space="preserve"> ÷</t>
    </r>
    <r>
      <rPr>
        <sz val="12"/>
        <rFont val="標楷體"/>
        <family val="4"/>
        <charset val="136"/>
      </rPr>
      <t>全年核付件數。</t>
    </r>
    <phoneticPr fontId="14" type="noConversion"/>
  </si>
  <si>
    <r>
      <rPr>
        <sz val="12"/>
        <rFont val="標楷體"/>
        <family val="4"/>
        <charset val="136"/>
      </rPr>
      <t>註：</t>
    </r>
    <r>
      <rPr>
        <sz val="12"/>
        <rFont val="Times New Roman"/>
        <family val="1"/>
      </rPr>
      <t>1.</t>
    </r>
    <r>
      <rPr>
        <sz val="12"/>
        <rFont val="標楷體"/>
        <family val="4"/>
        <charset val="136"/>
      </rPr>
      <t>老年一次金給付係指被保險人年滿</t>
    </r>
    <r>
      <rPr>
        <sz val="12"/>
        <rFont val="Times New Roman"/>
        <family val="1"/>
      </rPr>
      <t>60</t>
    </r>
    <r>
      <rPr>
        <sz val="12"/>
        <rFont val="標楷體"/>
        <family val="4"/>
        <charset val="136"/>
      </rPr>
      <t>歲，保險年資合計未滿</t>
    </r>
    <r>
      <rPr>
        <sz val="12"/>
        <rFont val="Times New Roman"/>
        <family val="1"/>
      </rPr>
      <t>15</t>
    </r>
    <r>
      <rPr>
        <sz val="12"/>
        <rFont val="標楷體"/>
        <family val="4"/>
        <charset val="136"/>
      </rPr>
      <t>年，並辦理離職退保者。請領年
　　　齡自</t>
    </r>
    <r>
      <rPr>
        <sz val="12"/>
        <rFont val="Times New Roman"/>
        <family val="1"/>
      </rPr>
      <t>107</t>
    </r>
    <r>
      <rPr>
        <sz val="12"/>
        <rFont val="標楷體"/>
        <family val="4"/>
        <charset val="136"/>
      </rPr>
      <t>年提高為</t>
    </r>
    <r>
      <rPr>
        <sz val="12"/>
        <rFont val="Times New Roman"/>
        <family val="1"/>
      </rPr>
      <t>61</t>
    </r>
    <r>
      <rPr>
        <sz val="12"/>
        <rFont val="標楷體"/>
        <family val="4"/>
        <charset val="136"/>
      </rPr>
      <t>歲，</t>
    </r>
    <r>
      <rPr>
        <sz val="12"/>
        <rFont val="Times New Roman"/>
        <family val="1"/>
      </rPr>
      <t>109</t>
    </r>
    <r>
      <rPr>
        <sz val="12"/>
        <rFont val="標楷體"/>
        <family val="4"/>
        <charset val="136"/>
      </rPr>
      <t>年為</t>
    </r>
    <r>
      <rPr>
        <sz val="12"/>
        <rFont val="Times New Roman"/>
        <family val="1"/>
      </rPr>
      <t>62</t>
    </r>
    <r>
      <rPr>
        <sz val="12"/>
        <rFont val="標楷體"/>
        <family val="4"/>
        <charset val="136"/>
      </rPr>
      <t>歲，</t>
    </r>
    <r>
      <rPr>
        <sz val="12"/>
        <rFont val="Times New Roman"/>
        <family val="1"/>
      </rPr>
      <t>111</t>
    </r>
    <r>
      <rPr>
        <sz val="12"/>
        <rFont val="標楷體"/>
        <family val="4"/>
        <charset val="136"/>
      </rPr>
      <t>年為</t>
    </r>
    <r>
      <rPr>
        <sz val="12"/>
        <rFont val="Times New Roman"/>
        <family val="1"/>
      </rPr>
      <t>63</t>
    </r>
    <r>
      <rPr>
        <sz val="12"/>
        <rFont val="標楷體"/>
        <family val="4"/>
        <charset val="136"/>
      </rPr>
      <t>歲，</t>
    </r>
    <r>
      <rPr>
        <sz val="12"/>
        <rFont val="Times New Roman"/>
        <family val="1"/>
      </rPr>
      <t>113</t>
    </r>
    <r>
      <rPr>
        <sz val="12"/>
        <rFont val="標楷體"/>
        <family val="4"/>
        <charset val="136"/>
      </rPr>
      <t>年為</t>
    </r>
    <r>
      <rPr>
        <sz val="12"/>
        <rFont val="Times New Roman"/>
        <family val="1"/>
      </rPr>
      <t>64</t>
    </r>
    <r>
      <rPr>
        <sz val="12"/>
        <rFont val="標楷體"/>
        <family val="4"/>
        <charset val="136"/>
      </rPr>
      <t>歲，</t>
    </r>
    <r>
      <rPr>
        <sz val="12"/>
        <rFont val="Times New Roman"/>
        <family val="1"/>
      </rPr>
      <t>115</t>
    </r>
    <r>
      <rPr>
        <sz val="12"/>
        <rFont val="標楷體"/>
        <family val="4"/>
        <charset val="136"/>
      </rPr>
      <t>年以後為</t>
    </r>
    <r>
      <rPr>
        <sz val="12"/>
        <rFont val="Times New Roman"/>
        <family val="1"/>
      </rPr>
      <t>65</t>
    </r>
    <r>
      <rPr>
        <sz val="12"/>
        <rFont val="標楷體"/>
        <family val="4"/>
        <charset val="136"/>
      </rPr>
      <t>歲。給付金
　　　額＝平均月投保薪資</t>
    </r>
    <r>
      <rPr>
        <sz val="12"/>
        <rFont val="Times New Roman"/>
        <family val="1"/>
      </rPr>
      <t xml:space="preserve"> </t>
    </r>
    <r>
      <rPr>
        <sz val="12"/>
        <rFont val="標楷體"/>
        <family val="4"/>
        <charset val="136"/>
      </rPr>
      <t>×</t>
    </r>
    <r>
      <rPr>
        <sz val="12"/>
        <rFont val="Times New Roman"/>
        <family val="1"/>
      </rPr>
      <t xml:space="preserve"> </t>
    </r>
    <r>
      <rPr>
        <sz val="12"/>
        <rFont val="標楷體"/>
        <family val="4"/>
        <charset val="136"/>
      </rPr>
      <t>給付月數。平均月投保薪資按加保期間最高</t>
    </r>
    <r>
      <rPr>
        <sz val="12"/>
        <rFont val="Times New Roman"/>
        <family val="1"/>
      </rPr>
      <t>60</t>
    </r>
    <r>
      <rPr>
        <sz val="12"/>
        <rFont val="標楷體"/>
        <family val="4"/>
        <charset val="136"/>
      </rPr>
      <t>個月之月投保薪資平均計
　　　算；給付月數按保險年資計算，保險年資合計每滿</t>
    </r>
    <r>
      <rPr>
        <sz val="12"/>
        <rFont val="Times New Roman"/>
        <family val="1"/>
      </rPr>
      <t>1</t>
    </r>
    <r>
      <rPr>
        <sz val="12"/>
        <rFont val="標楷體"/>
        <family val="4"/>
        <charset val="136"/>
      </rPr>
      <t>年發給</t>
    </r>
    <r>
      <rPr>
        <sz val="12"/>
        <rFont val="Times New Roman"/>
        <family val="1"/>
      </rPr>
      <t>1</t>
    </r>
    <r>
      <rPr>
        <sz val="12"/>
        <rFont val="標楷體"/>
        <family val="4"/>
        <charset val="136"/>
      </rPr>
      <t>個月。　　　
　　</t>
    </r>
    <r>
      <rPr>
        <sz val="12"/>
        <rFont val="Times New Roman"/>
        <family val="1"/>
      </rPr>
      <t>2.</t>
    </r>
    <r>
      <rPr>
        <sz val="12"/>
        <rFont val="標楷體"/>
        <family val="4"/>
        <charset val="136"/>
      </rPr>
      <t>老年一次金給付總計包含無法歸類縣市別之男性</t>
    </r>
    <r>
      <rPr>
        <sz val="12"/>
        <rFont val="Times New Roman"/>
        <family val="1"/>
      </rPr>
      <t>3</t>
    </r>
    <r>
      <rPr>
        <sz val="12"/>
        <rFont val="標楷體"/>
        <family val="4"/>
        <charset val="136"/>
      </rPr>
      <t>人，</t>
    </r>
    <r>
      <rPr>
        <sz val="12"/>
        <rFont val="Times New Roman"/>
        <family val="1"/>
      </rPr>
      <t>60,261</t>
    </r>
    <r>
      <rPr>
        <sz val="12"/>
        <rFont val="標楷體"/>
        <family val="4"/>
        <charset val="136"/>
      </rPr>
      <t>元；女性</t>
    </r>
    <r>
      <rPr>
        <sz val="12"/>
        <rFont val="Times New Roman"/>
        <family val="1"/>
      </rPr>
      <t>5</t>
    </r>
    <r>
      <rPr>
        <sz val="12"/>
        <rFont val="標楷體"/>
        <family val="4"/>
        <charset val="136"/>
      </rPr>
      <t>人，</t>
    </r>
    <r>
      <rPr>
        <sz val="12"/>
        <rFont val="Times New Roman"/>
        <family val="1"/>
      </rPr>
      <t>21,716</t>
    </r>
    <r>
      <rPr>
        <sz val="12"/>
        <rFont val="標楷體"/>
        <family val="4"/>
        <charset val="136"/>
      </rPr>
      <t>元。
　　</t>
    </r>
    <r>
      <rPr>
        <sz val="12"/>
        <rFont val="Times New Roman"/>
        <family val="1"/>
      </rPr>
      <t>3.</t>
    </r>
    <r>
      <rPr>
        <sz val="12"/>
        <rFont val="標楷體"/>
        <family val="4"/>
        <charset val="136"/>
      </rPr>
      <t>老年一次金給付平均給付金額＝全年核付金額</t>
    </r>
    <r>
      <rPr>
        <sz val="12"/>
        <rFont val="Times New Roman"/>
        <family val="1"/>
      </rPr>
      <t xml:space="preserve"> ÷</t>
    </r>
    <r>
      <rPr>
        <sz val="12"/>
        <rFont val="標楷體"/>
        <family val="4"/>
        <charset val="136"/>
      </rPr>
      <t>全年核付件數。</t>
    </r>
    <phoneticPr fontId="14" type="noConversion"/>
  </si>
  <si>
    <r>
      <t>107</t>
    </r>
    <r>
      <rPr>
        <sz val="12"/>
        <rFont val="標楷體"/>
        <family val="4"/>
        <charset val="136"/>
      </rPr>
      <t>年</t>
    </r>
    <phoneticPr fontId="4" type="noConversion"/>
  </si>
  <si>
    <r>
      <rPr>
        <sz val="11"/>
        <rFont val="標楷體"/>
        <family val="4"/>
        <charset val="136"/>
      </rPr>
      <t>未滿</t>
    </r>
    <r>
      <rPr>
        <sz val="11"/>
        <rFont val="Arial Narrow"/>
        <family val="2"/>
      </rPr>
      <t>35</t>
    </r>
    <r>
      <rPr>
        <sz val="11"/>
        <rFont val="標楷體"/>
        <family val="4"/>
        <charset val="136"/>
      </rPr>
      <t>歲</t>
    </r>
    <phoneticPr fontId="4" type="noConversion"/>
  </si>
  <si>
    <r>
      <t>未滿</t>
    </r>
    <r>
      <rPr>
        <sz val="11"/>
        <rFont val="Arial Narrow"/>
        <family val="2"/>
      </rPr>
      <t>35</t>
    </r>
    <r>
      <rPr>
        <sz val="11"/>
        <rFont val="標楷體"/>
        <family val="4"/>
        <charset val="136"/>
      </rPr>
      <t>歲</t>
    </r>
    <phoneticPr fontId="4" type="noConversion"/>
  </si>
  <si>
    <r>
      <rPr>
        <sz val="12"/>
        <rFont val="標楷體"/>
        <family val="4"/>
        <charset val="136"/>
      </rPr>
      <t>未滿</t>
    </r>
    <r>
      <rPr>
        <sz val="12"/>
        <rFont val="Arial"/>
        <family val="2"/>
      </rPr>
      <t>35</t>
    </r>
    <r>
      <rPr>
        <sz val="12"/>
        <rFont val="標楷體"/>
        <family val="4"/>
        <charset val="136"/>
      </rPr>
      <t>歲</t>
    </r>
    <phoneticPr fontId="4" type="noConversion"/>
  </si>
  <si>
    <r>
      <rPr>
        <sz val="12"/>
        <rFont val="標楷體"/>
        <family val="4"/>
        <charset val="136"/>
      </rPr>
      <t>註：</t>
    </r>
    <r>
      <rPr>
        <sz val="12"/>
        <rFont val="Times New Roman"/>
        <family val="1"/>
      </rPr>
      <t xml:space="preserve">1. </t>
    </r>
    <r>
      <rPr>
        <sz val="12"/>
        <rFont val="標楷體"/>
        <family val="4"/>
        <charset val="136"/>
      </rPr>
      <t>一次請領老年給付係指被保險人於</t>
    </r>
    <r>
      <rPr>
        <sz val="12"/>
        <rFont val="Times New Roman"/>
        <family val="1"/>
      </rPr>
      <t>97</t>
    </r>
    <r>
      <rPr>
        <sz val="12"/>
        <rFont val="標楷體"/>
        <family val="4"/>
        <charset val="136"/>
      </rPr>
      <t>年</t>
    </r>
    <r>
      <rPr>
        <sz val="12"/>
        <rFont val="Times New Roman"/>
        <family val="1"/>
      </rPr>
      <t>12</t>
    </r>
    <r>
      <rPr>
        <sz val="12"/>
        <rFont val="標楷體"/>
        <family val="4"/>
        <charset val="136"/>
      </rPr>
      <t>月</t>
    </r>
    <r>
      <rPr>
        <sz val="12"/>
        <rFont val="Times New Roman"/>
        <family val="1"/>
      </rPr>
      <t>31</t>
    </r>
    <r>
      <rPr>
        <sz val="12"/>
        <rFont val="標楷體"/>
        <family val="4"/>
        <charset val="136"/>
      </rPr>
      <t>日前有保險年資者，於符合請領資格時，得選擇
　　　一次請領老年給付。給付金額＝平均月投保薪資</t>
    </r>
    <r>
      <rPr>
        <sz val="9"/>
        <rFont val="Times New Roman"/>
        <family val="1"/>
      </rPr>
      <t xml:space="preserve"> × </t>
    </r>
    <r>
      <rPr>
        <sz val="12"/>
        <rFont val="標楷體"/>
        <family val="4"/>
        <charset val="136"/>
      </rPr>
      <t>給付月數。平均月投保薪資按退保當月起前
　　　</t>
    </r>
    <r>
      <rPr>
        <sz val="12"/>
        <rFont val="Times New Roman"/>
        <family val="1"/>
      </rPr>
      <t>3</t>
    </r>
    <r>
      <rPr>
        <sz val="12"/>
        <rFont val="標楷體"/>
        <family val="4"/>
        <charset val="136"/>
      </rPr>
      <t>年之實際月投保薪資平均計算；給付月數按保險年資計算，保險年資合計每滿</t>
    </r>
    <r>
      <rPr>
        <sz val="12"/>
        <rFont val="Times New Roman"/>
        <family val="1"/>
      </rPr>
      <t>1</t>
    </r>
    <r>
      <rPr>
        <sz val="12"/>
        <rFont val="標楷體"/>
        <family val="4"/>
        <charset val="136"/>
      </rPr>
      <t>年發給</t>
    </r>
    <r>
      <rPr>
        <sz val="12"/>
        <rFont val="Times New Roman"/>
        <family val="1"/>
      </rPr>
      <t>1</t>
    </r>
    <r>
      <rPr>
        <sz val="12"/>
        <rFont val="標楷體"/>
        <family val="4"/>
        <charset val="136"/>
      </rPr>
      <t>個月，
　　　保險年資合計超過</t>
    </r>
    <r>
      <rPr>
        <sz val="12"/>
        <rFont val="Times New Roman"/>
        <family val="1"/>
      </rPr>
      <t>15</t>
    </r>
    <r>
      <rPr>
        <sz val="12"/>
        <rFont val="標楷體"/>
        <family val="4"/>
        <charset val="136"/>
      </rPr>
      <t>年者，每滿</t>
    </r>
    <r>
      <rPr>
        <sz val="12"/>
        <rFont val="Times New Roman"/>
        <family val="1"/>
      </rPr>
      <t>1</t>
    </r>
    <r>
      <rPr>
        <sz val="12"/>
        <rFont val="標楷體"/>
        <family val="4"/>
        <charset val="136"/>
      </rPr>
      <t>年發給</t>
    </r>
    <r>
      <rPr>
        <sz val="12"/>
        <rFont val="Times New Roman"/>
        <family val="1"/>
      </rPr>
      <t>2</t>
    </r>
    <r>
      <rPr>
        <sz val="12"/>
        <rFont val="標楷體"/>
        <family val="4"/>
        <charset val="136"/>
      </rPr>
      <t>個月。
　　</t>
    </r>
    <r>
      <rPr>
        <sz val="12"/>
        <rFont val="Times New Roman"/>
        <family val="1"/>
      </rPr>
      <t xml:space="preserve">2. </t>
    </r>
    <r>
      <rPr>
        <sz val="12"/>
        <rFont val="標楷體"/>
        <family val="4"/>
        <charset val="136"/>
      </rPr>
      <t>本表含補發併計年資金額</t>
    </r>
    <r>
      <rPr>
        <sz val="12"/>
        <rFont val="Times New Roman"/>
        <family val="1"/>
      </rPr>
      <t>146,400</t>
    </r>
    <r>
      <rPr>
        <sz val="12"/>
        <rFont val="標楷體"/>
        <family val="4"/>
        <charset val="136"/>
      </rPr>
      <t>元；一次請領老年給付平均給付金額＝</t>
    </r>
    <r>
      <rPr>
        <sz val="12"/>
        <rFont val="Times New Roman"/>
        <family val="1"/>
      </rPr>
      <t>(</t>
    </r>
    <r>
      <rPr>
        <sz val="12"/>
        <rFont val="標楷體"/>
        <family val="4"/>
        <charset val="136"/>
      </rPr>
      <t>全年核付金額－補發併
　　　計年資金額</t>
    </r>
    <r>
      <rPr>
        <sz val="12"/>
        <rFont val="Times New Roman"/>
        <family val="1"/>
      </rPr>
      <t>)÷</t>
    </r>
    <r>
      <rPr>
        <sz val="12"/>
        <rFont val="標楷體"/>
        <family val="4"/>
        <charset val="136"/>
      </rPr>
      <t>全年核付件數。
　　</t>
    </r>
    <r>
      <rPr>
        <sz val="12"/>
        <rFont val="Times New Roman"/>
        <family val="1"/>
      </rPr>
      <t xml:space="preserve">3. </t>
    </r>
    <r>
      <rPr>
        <sz val="12"/>
        <rFont val="標楷體"/>
        <family val="4"/>
        <charset val="136"/>
      </rPr>
      <t>配合桃園縣改制為直轄市，自</t>
    </r>
    <r>
      <rPr>
        <sz val="12"/>
        <rFont val="Times New Roman"/>
        <family val="1"/>
      </rPr>
      <t>104</t>
    </r>
    <r>
      <rPr>
        <sz val="12"/>
        <rFont val="標楷體"/>
        <family val="4"/>
        <charset val="136"/>
      </rPr>
      <t>年起統計資料依改制後縣市別編製。</t>
    </r>
    <phoneticPr fontId="14" type="noConversion"/>
  </si>
  <si>
    <r>
      <rPr>
        <sz val="12"/>
        <rFont val="標楷體"/>
        <family val="4"/>
        <charset val="136"/>
      </rPr>
      <t>註：</t>
    </r>
    <r>
      <rPr>
        <sz val="12"/>
        <rFont val="Times New Roman"/>
        <family val="1"/>
      </rPr>
      <t xml:space="preserve">1. </t>
    </r>
    <r>
      <rPr>
        <sz val="12"/>
        <rFont val="標楷體"/>
        <family val="4"/>
        <charset val="136"/>
      </rPr>
      <t>老年差額金給付係指被保險人領取老年年金期間死亡，且於勞保年金開辦前有保險年資，得由
　　　符合規定之遺屬，選擇請領「一次請領老年給付扣除已領年金給付總額之差額」。
　　</t>
    </r>
    <r>
      <rPr>
        <sz val="12"/>
        <rFont val="Times New Roman"/>
        <family val="1"/>
      </rPr>
      <t xml:space="preserve">2. </t>
    </r>
    <r>
      <rPr>
        <sz val="12"/>
        <rFont val="標楷體"/>
        <family val="4"/>
        <charset val="136"/>
      </rPr>
      <t>老年差額金給付平均給付金額＝全年核付金額</t>
    </r>
    <r>
      <rPr>
        <sz val="12"/>
        <rFont val="Times New Roman"/>
        <family val="1"/>
      </rPr>
      <t xml:space="preserve"> ÷</t>
    </r>
    <r>
      <rPr>
        <sz val="12"/>
        <rFont val="標楷體"/>
        <family val="4"/>
        <charset val="136"/>
      </rPr>
      <t>全年核付件數。
　　</t>
    </r>
    <r>
      <rPr>
        <sz val="12"/>
        <rFont val="Times New Roman"/>
        <family val="1"/>
      </rPr>
      <t xml:space="preserve">3. </t>
    </r>
    <r>
      <rPr>
        <sz val="12"/>
        <rFont val="標楷體"/>
        <family val="4"/>
        <charset val="136"/>
      </rPr>
      <t>配合桃園縣改制為直轄市，自</t>
    </r>
    <r>
      <rPr>
        <sz val="12"/>
        <rFont val="Times New Roman"/>
        <family val="1"/>
      </rPr>
      <t>104</t>
    </r>
    <r>
      <rPr>
        <sz val="12"/>
        <rFont val="標楷體"/>
        <family val="4"/>
        <charset val="136"/>
      </rPr>
      <t>年起統計資料依改制後縣市別編製。</t>
    </r>
    <phoneticPr fontId="14" type="noConversion"/>
  </si>
  <si>
    <r>
      <rPr>
        <sz val="12"/>
        <rFont val="標楷體"/>
        <family val="4"/>
        <charset val="136"/>
      </rPr>
      <t>註：</t>
    </r>
    <r>
      <rPr>
        <sz val="12"/>
        <rFont val="Times New Roman"/>
        <family val="1"/>
      </rPr>
      <t xml:space="preserve">1. </t>
    </r>
    <r>
      <rPr>
        <sz val="12"/>
        <rFont val="標楷體"/>
        <family val="4"/>
        <charset val="136"/>
      </rPr>
      <t>一次請領老年給付係指被保險人於</t>
    </r>
    <r>
      <rPr>
        <sz val="12"/>
        <rFont val="Times New Roman"/>
        <family val="1"/>
      </rPr>
      <t>97</t>
    </r>
    <r>
      <rPr>
        <sz val="12"/>
        <rFont val="標楷體"/>
        <family val="4"/>
        <charset val="136"/>
      </rPr>
      <t>年</t>
    </r>
    <r>
      <rPr>
        <sz val="12"/>
        <rFont val="Times New Roman"/>
        <family val="1"/>
      </rPr>
      <t>12</t>
    </r>
    <r>
      <rPr>
        <sz val="12"/>
        <rFont val="標楷體"/>
        <family val="4"/>
        <charset val="136"/>
      </rPr>
      <t>月</t>
    </r>
    <r>
      <rPr>
        <sz val="12"/>
        <rFont val="Times New Roman"/>
        <family val="1"/>
      </rPr>
      <t>31</t>
    </r>
    <r>
      <rPr>
        <sz val="12"/>
        <rFont val="標楷體"/>
        <family val="4"/>
        <charset val="136"/>
      </rPr>
      <t>日前有保險年資者，於符合請領資格時，得選擇
　　　一次請領老年給付。給付金額＝平均月投保薪資</t>
    </r>
    <r>
      <rPr>
        <sz val="12"/>
        <rFont val="Times New Roman"/>
        <family val="1"/>
      </rPr>
      <t xml:space="preserve"> </t>
    </r>
    <r>
      <rPr>
        <sz val="12"/>
        <rFont val="標楷體"/>
        <family val="4"/>
        <charset val="136"/>
      </rPr>
      <t>×</t>
    </r>
    <r>
      <rPr>
        <sz val="12"/>
        <rFont val="Times New Roman"/>
        <family val="1"/>
      </rPr>
      <t xml:space="preserve"> </t>
    </r>
    <r>
      <rPr>
        <sz val="12"/>
        <rFont val="標楷體"/>
        <family val="4"/>
        <charset val="136"/>
      </rPr>
      <t>給付月數。平均月投保薪資按退保當月起前
　　　</t>
    </r>
    <r>
      <rPr>
        <sz val="12"/>
        <rFont val="Times New Roman"/>
        <family val="1"/>
      </rPr>
      <t>3</t>
    </r>
    <r>
      <rPr>
        <sz val="12"/>
        <rFont val="標楷體"/>
        <family val="4"/>
        <charset val="136"/>
      </rPr>
      <t>年之實際月投保薪資平均計算；給付月數按保險年資計算，保險年資合計每滿</t>
    </r>
    <r>
      <rPr>
        <sz val="12"/>
        <rFont val="Times New Roman"/>
        <family val="1"/>
      </rPr>
      <t>1</t>
    </r>
    <r>
      <rPr>
        <sz val="12"/>
        <rFont val="標楷體"/>
        <family val="4"/>
        <charset val="136"/>
      </rPr>
      <t>年發給</t>
    </r>
    <r>
      <rPr>
        <sz val="12"/>
        <rFont val="Times New Roman"/>
        <family val="1"/>
      </rPr>
      <t>1</t>
    </r>
    <r>
      <rPr>
        <sz val="12"/>
        <rFont val="標楷體"/>
        <family val="4"/>
        <charset val="136"/>
      </rPr>
      <t>個月，
　　　保險年資合計超過</t>
    </r>
    <r>
      <rPr>
        <sz val="12"/>
        <rFont val="Times New Roman"/>
        <family val="1"/>
      </rPr>
      <t>15</t>
    </r>
    <r>
      <rPr>
        <sz val="12"/>
        <rFont val="標楷體"/>
        <family val="4"/>
        <charset val="136"/>
      </rPr>
      <t>年者，每滿</t>
    </r>
    <r>
      <rPr>
        <sz val="12"/>
        <rFont val="Times New Roman"/>
        <family val="1"/>
      </rPr>
      <t>1</t>
    </r>
    <r>
      <rPr>
        <sz val="12"/>
        <rFont val="標楷體"/>
        <family val="4"/>
        <charset val="136"/>
      </rPr>
      <t>年發給</t>
    </r>
    <r>
      <rPr>
        <sz val="12"/>
        <rFont val="Times New Roman"/>
        <family val="1"/>
      </rPr>
      <t>2</t>
    </r>
    <r>
      <rPr>
        <sz val="12"/>
        <rFont val="標楷體"/>
        <family val="4"/>
        <charset val="136"/>
      </rPr>
      <t>個月。
　　</t>
    </r>
    <r>
      <rPr>
        <sz val="12"/>
        <rFont val="Times New Roman"/>
        <family val="1"/>
      </rPr>
      <t xml:space="preserve">2. </t>
    </r>
    <r>
      <rPr>
        <sz val="12"/>
        <rFont val="標楷體"/>
        <family val="4"/>
        <charset val="136"/>
      </rPr>
      <t>一次請領老年給付平均給付金額＝全年核付金額</t>
    </r>
    <r>
      <rPr>
        <sz val="12"/>
        <rFont val="Times New Roman"/>
        <family val="1"/>
      </rPr>
      <t xml:space="preserve"> </t>
    </r>
    <r>
      <rPr>
        <sz val="12"/>
        <rFont val="標楷體"/>
        <family val="4"/>
        <charset val="136"/>
      </rPr>
      <t>÷全年核付件數。
　　</t>
    </r>
    <r>
      <rPr>
        <sz val="12"/>
        <rFont val="Times New Roman"/>
        <family val="1"/>
      </rPr>
      <t xml:space="preserve">3. </t>
    </r>
    <r>
      <rPr>
        <sz val="12"/>
        <rFont val="標楷體"/>
        <family val="4"/>
        <charset val="136"/>
      </rPr>
      <t>配合部分縣市合併或改制為直轄市，自</t>
    </r>
    <r>
      <rPr>
        <sz val="12"/>
        <rFont val="Times New Roman"/>
        <family val="1"/>
      </rPr>
      <t>100</t>
    </r>
    <r>
      <rPr>
        <sz val="12"/>
        <rFont val="標楷體"/>
        <family val="4"/>
        <charset val="136"/>
      </rPr>
      <t>年起統計資料依改制後縣市別編製。</t>
    </r>
    <phoneticPr fontId="14" type="noConversion"/>
  </si>
  <si>
    <r>
      <rPr>
        <sz val="12"/>
        <rFont val="標楷體"/>
        <family val="4"/>
        <charset val="136"/>
      </rPr>
      <t>註：</t>
    </r>
    <r>
      <rPr>
        <sz val="12"/>
        <rFont val="Times New Roman"/>
        <family val="1"/>
      </rPr>
      <t xml:space="preserve">1. </t>
    </r>
    <r>
      <rPr>
        <sz val="12"/>
        <rFont val="標楷體"/>
        <family val="4"/>
        <charset val="136"/>
      </rPr>
      <t>老年差額金給付係指被保險人領取老年年金期間死亡，且於勞保年金開辦前有保險年資，得由
　　　符合規定之遺屬，選擇請領「一次請領老年給付扣除已領年金給付總額之差額」。
　　</t>
    </r>
    <r>
      <rPr>
        <sz val="12"/>
        <rFont val="Times New Roman"/>
        <family val="1"/>
      </rPr>
      <t xml:space="preserve">2. </t>
    </r>
    <r>
      <rPr>
        <sz val="12"/>
        <rFont val="標楷體"/>
        <family val="4"/>
        <charset val="136"/>
      </rPr>
      <t>老年差額金給付平均給付金額＝全年核付金額</t>
    </r>
    <r>
      <rPr>
        <sz val="12"/>
        <rFont val="Times New Roman"/>
        <family val="1"/>
      </rPr>
      <t xml:space="preserve"> ÷</t>
    </r>
    <r>
      <rPr>
        <sz val="12"/>
        <rFont val="標楷體"/>
        <family val="4"/>
        <charset val="136"/>
      </rPr>
      <t>全年核付件數。
　　</t>
    </r>
    <r>
      <rPr>
        <sz val="12"/>
        <rFont val="Times New Roman"/>
        <family val="1"/>
      </rPr>
      <t xml:space="preserve">3. </t>
    </r>
    <r>
      <rPr>
        <sz val="12"/>
        <rFont val="標楷體"/>
        <family val="4"/>
        <charset val="136"/>
      </rPr>
      <t>配合部分縣市合併或改制為直轄市，自</t>
    </r>
    <r>
      <rPr>
        <sz val="12"/>
        <rFont val="Times New Roman"/>
        <family val="1"/>
      </rPr>
      <t>100</t>
    </r>
    <r>
      <rPr>
        <sz val="12"/>
        <rFont val="標楷體"/>
        <family val="4"/>
        <charset val="136"/>
      </rPr>
      <t>年起統計資料依改制後縣市別編製。</t>
    </r>
    <phoneticPr fontId="14" type="noConversion"/>
  </si>
  <si>
    <r>
      <rPr>
        <sz val="12"/>
        <rFont val="標楷體"/>
        <family val="4"/>
        <charset val="136"/>
      </rPr>
      <t>註：</t>
    </r>
    <r>
      <rPr>
        <sz val="12"/>
        <rFont val="Times New Roman"/>
        <family val="1"/>
      </rPr>
      <t xml:space="preserve">1. </t>
    </r>
    <r>
      <rPr>
        <sz val="12"/>
        <rFont val="標楷體"/>
        <family val="4"/>
        <charset val="136"/>
      </rPr>
      <t>老年一次金給付係指被保險人年滿</t>
    </r>
    <r>
      <rPr>
        <sz val="12"/>
        <rFont val="Times New Roman"/>
        <family val="1"/>
      </rPr>
      <t>60</t>
    </r>
    <r>
      <rPr>
        <sz val="12"/>
        <rFont val="標楷體"/>
        <family val="4"/>
        <charset val="136"/>
      </rPr>
      <t>歲，保險年資合計未滿</t>
    </r>
    <r>
      <rPr>
        <sz val="12"/>
        <rFont val="Times New Roman"/>
        <family val="1"/>
      </rPr>
      <t>15</t>
    </r>
    <r>
      <rPr>
        <sz val="12"/>
        <rFont val="標楷體"/>
        <family val="4"/>
        <charset val="136"/>
      </rPr>
      <t>年，並辦理離職退保者。請領年
　　　齡自</t>
    </r>
    <r>
      <rPr>
        <sz val="12"/>
        <rFont val="Times New Roman"/>
        <family val="1"/>
      </rPr>
      <t>107</t>
    </r>
    <r>
      <rPr>
        <sz val="12"/>
        <rFont val="標楷體"/>
        <family val="4"/>
        <charset val="136"/>
      </rPr>
      <t>年提高為</t>
    </r>
    <r>
      <rPr>
        <sz val="12"/>
        <rFont val="Times New Roman"/>
        <family val="1"/>
      </rPr>
      <t>61</t>
    </r>
    <r>
      <rPr>
        <sz val="12"/>
        <rFont val="標楷體"/>
        <family val="4"/>
        <charset val="136"/>
      </rPr>
      <t>歲，</t>
    </r>
    <r>
      <rPr>
        <sz val="12"/>
        <rFont val="Times New Roman"/>
        <family val="1"/>
      </rPr>
      <t>109</t>
    </r>
    <r>
      <rPr>
        <sz val="12"/>
        <rFont val="標楷體"/>
        <family val="4"/>
        <charset val="136"/>
      </rPr>
      <t>年為</t>
    </r>
    <r>
      <rPr>
        <sz val="12"/>
        <rFont val="Times New Roman"/>
        <family val="1"/>
      </rPr>
      <t>62</t>
    </r>
    <r>
      <rPr>
        <sz val="12"/>
        <rFont val="標楷體"/>
        <family val="4"/>
        <charset val="136"/>
      </rPr>
      <t>歲，</t>
    </r>
    <r>
      <rPr>
        <sz val="12"/>
        <rFont val="Times New Roman"/>
        <family val="1"/>
      </rPr>
      <t>111</t>
    </r>
    <r>
      <rPr>
        <sz val="12"/>
        <rFont val="標楷體"/>
        <family val="4"/>
        <charset val="136"/>
      </rPr>
      <t>年為</t>
    </r>
    <r>
      <rPr>
        <sz val="12"/>
        <rFont val="Times New Roman"/>
        <family val="1"/>
      </rPr>
      <t>63</t>
    </r>
    <r>
      <rPr>
        <sz val="12"/>
        <rFont val="標楷體"/>
        <family val="4"/>
        <charset val="136"/>
      </rPr>
      <t>歲，</t>
    </r>
    <r>
      <rPr>
        <sz val="12"/>
        <rFont val="Times New Roman"/>
        <family val="1"/>
      </rPr>
      <t>113</t>
    </r>
    <r>
      <rPr>
        <sz val="12"/>
        <rFont val="標楷體"/>
        <family val="4"/>
        <charset val="136"/>
      </rPr>
      <t>年為</t>
    </r>
    <r>
      <rPr>
        <sz val="12"/>
        <rFont val="Times New Roman"/>
        <family val="1"/>
      </rPr>
      <t>64</t>
    </r>
    <r>
      <rPr>
        <sz val="12"/>
        <rFont val="標楷體"/>
        <family val="4"/>
        <charset val="136"/>
      </rPr>
      <t>歲，</t>
    </r>
    <r>
      <rPr>
        <sz val="12"/>
        <rFont val="Times New Roman"/>
        <family val="1"/>
      </rPr>
      <t>115</t>
    </r>
    <r>
      <rPr>
        <sz val="12"/>
        <rFont val="標楷體"/>
        <family val="4"/>
        <charset val="136"/>
      </rPr>
      <t>年以後為</t>
    </r>
    <r>
      <rPr>
        <sz val="12"/>
        <rFont val="Times New Roman"/>
        <family val="1"/>
      </rPr>
      <t>65</t>
    </r>
    <r>
      <rPr>
        <sz val="12"/>
        <rFont val="標楷體"/>
        <family val="4"/>
        <charset val="136"/>
      </rPr>
      <t>歲。給付金
　　　額＝平均月投保薪資</t>
    </r>
    <r>
      <rPr>
        <sz val="12"/>
        <rFont val="Times New Roman"/>
        <family val="1"/>
      </rPr>
      <t xml:space="preserve"> </t>
    </r>
    <r>
      <rPr>
        <sz val="12"/>
        <rFont val="標楷體"/>
        <family val="4"/>
        <charset val="136"/>
      </rPr>
      <t>×</t>
    </r>
    <r>
      <rPr>
        <sz val="12"/>
        <rFont val="Times New Roman"/>
        <family val="1"/>
      </rPr>
      <t xml:space="preserve"> </t>
    </r>
    <r>
      <rPr>
        <sz val="12"/>
        <rFont val="標楷體"/>
        <family val="4"/>
        <charset val="136"/>
      </rPr>
      <t>給付月數。平均月投保薪資按加保期間最高</t>
    </r>
    <r>
      <rPr>
        <sz val="12"/>
        <rFont val="Times New Roman"/>
        <family val="1"/>
      </rPr>
      <t>60</t>
    </r>
    <r>
      <rPr>
        <sz val="12"/>
        <rFont val="標楷體"/>
        <family val="4"/>
        <charset val="136"/>
      </rPr>
      <t>個月之月投保薪資平均計
　　　算；給付月數按保險年資計算，保險年資合計每滿</t>
    </r>
    <r>
      <rPr>
        <sz val="12"/>
        <rFont val="Times New Roman"/>
        <family val="1"/>
      </rPr>
      <t>1</t>
    </r>
    <r>
      <rPr>
        <sz val="12"/>
        <rFont val="標楷體"/>
        <family val="4"/>
        <charset val="136"/>
      </rPr>
      <t>年發給</t>
    </r>
    <r>
      <rPr>
        <sz val="12"/>
        <rFont val="Times New Roman"/>
        <family val="1"/>
      </rPr>
      <t>1</t>
    </r>
    <r>
      <rPr>
        <sz val="12"/>
        <rFont val="標楷體"/>
        <family val="4"/>
        <charset val="136"/>
      </rPr>
      <t>個月。
　　</t>
    </r>
    <r>
      <rPr>
        <sz val="12"/>
        <rFont val="Times New Roman"/>
        <family val="1"/>
      </rPr>
      <t xml:space="preserve">2. </t>
    </r>
    <r>
      <rPr>
        <sz val="12"/>
        <rFont val="標楷體"/>
        <family val="4"/>
        <charset val="136"/>
      </rPr>
      <t>老年一次金給付總計包含無法歸類縣市別之男性</t>
    </r>
    <r>
      <rPr>
        <sz val="12"/>
        <rFont val="Times New Roman"/>
        <family val="1"/>
      </rPr>
      <t>2</t>
    </r>
    <r>
      <rPr>
        <sz val="12"/>
        <rFont val="標楷體"/>
        <family val="4"/>
        <charset val="136"/>
      </rPr>
      <t>人，</t>
    </r>
    <r>
      <rPr>
        <sz val="12"/>
        <rFont val="Times New Roman"/>
        <family val="1"/>
      </rPr>
      <t>35,205</t>
    </r>
    <r>
      <rPr>
        <sz val="12"/>
        <rFont val="標楷體"/>
        <family val="4"/>
        <charset val="136"/>
      </rPr>
      <t>元；女性</t>
    </r>
    <r>
      <rPr>
        <sz val="12"/>
        <rFont val="Times New Roman"/>
        <family val="1"/>
      </rPr>
      <t>4</t>
    </r>
    <r>
      <rPr>
        <sz val="12"/>
        <rFont val="標楷體"/>
        <family val="4"/>
        <charset val="136"/>
      </rPr>
      <t>人，</t>
    </r>
    <r>
      <rPr>
        <sz val="12"/>
        <rFont val="Times New Roman"/>
        <family val="1"/>
      </rPr>
      <t>18,307</t>
    </r>
    <r>
      <rPr>
        <sz val="12"/>
        <rFont val="標楷體"/>
        <family val="4"/>
        <charset val="136"/>
      </rPr>
      <t>元。
　　</t>
    </r>
    <r>
      <rPr>
        <sz val="12"/>
        <rFont val="Times New Roman"/>
        <family val="1"/>
      </rPr>
      <t xml:space="preserve">3. </t>
    </r>
    <r>
      <rPr>
        <sz val="12"/>
        <rFont val="標楷體"/>
        <family val="4"/>
        <charset val="136"/>
      </rPr>
      <t>老年一次金給付平均給付金額＝全年核付金額</t>
    </r>
    <r>
      <rPr>
        <sz val="12"/>
        <rFont val="Times New Roman"/>
        <family val="1"/>
      </rPr>
      <t xml:space="preserve"> ÷</t>
    </r>
    <r>
      <rPr>
        <sz val="12"/>
        <rFont val="標楷體"/>
        <family val="4"/>
        <charset val="136"/>
      </rPr>
      <t>全年核付件數。
　　</t>
    </r>
    <r>
      <rPr>
        <sz val="12"/>
        <rFont val="Times New Roman"/>
        <family val="1"/>
      </rPr>
      <t xml:space="preserve">4. </t>
    </r>
    <r>
      <rPr>
        <sz val="12"/>
        <rFont val="標楷體"/>
        <family val="4"/>
        <charset val="136"/>
      </rPr>
      <t>配合部分縣市合併或改制為直轄市，自</t>
    </r>
    <r>
      <rPr>
        <sz val="12"/>
        <rFont val="Times New Roman"/>
        <family val="1"/>
      </rPr>
      <t>100</t>
    </r>
    <r>
      <rPr>
        <sz val="12"/>
        <rFont val="標楷體"/>
        <family val="4"/>
        <charset val="136"/>
      </rPr>
      <t>年起統計資料依改制後縣市別編製。</t>
    </r>
    <phoneticPr fontId="14" type="noConversion"/>
  </si>
  <si>
    <r>
      <rPr>
        <sz val="12"/>
        <rFont val="標楷體"/>
        <family val="4"/>
        <charset val="136"/>
      </rPr>
      <t>註：</t>
    </r>
    <r>
      <rPr>
        <sz val="12"/>
        <rFont val="Times New Roman"/>
        <family val="1"/>
      </rPr>
      <t xml:space="preserve">1. </t>
    </r>
    <r>
      <rPr>
        <sz val="12"/>
        <rFont val="標楷體"/>
        <family val="4"/>
        <charset val="136"/>
      </rPr>
      <t>老年一次金給付係指被保險人年滿</t>
    </r>
    <r>
      <rPr>
        <sz val="12"/>
        <rFont val="Times New Roman"/>
        <family val="1"/>
      </rPr>
      <t>60</t>
    </r>
    <r>
      <rPr>
        <sz val="12"/>
        <rFont val="標楷體"/>
        <family val="4"/>
        <charset val="136"/>
      </rPr>
      <t>歲，保險年資合計未滿</t>
    </r>
    <r>
      <rPr>
        <sz val="12"/>
        <rFont val="Times New Roman"/>
        <family val="1"/>
      </rPr>
      <t>15</t>
    </r>
    <r>
      <rPr>
        <sz val="12"/>
        <rFont val="標楷體"/>
        <family val="4"/>
        <charset val="136"/>
      </rPr>
      <t>年，並辦理離職退保者。請領年
　　　齡自</t>
    </r>
    <r>
      <rPr>
        <sz val="12"/>
        <rFont val="Times New Roman"/>
        <family val="1"/>
      </rPr>
      <t>107</t>
    </r>
    <r>
      <rPr>
        <sz val="12"/>
        <rFont val="標楷體"/>
        <family val="4"/>
        <charset val="136"/>
      </rPr>
      <t>年提高為</t>
    </r>
    <r>
      <rPr>
        <sz val="12"/>
        <rFont val="Times New Roman"/>
        <family val="1"/>
      </rPr>
      <t>61</t>
    </r>
    <r>
      <rPr>
        <sz val="12"/>
        <rFont val="標楷體"/>
        <family val="4"/>
        <charset val="136"/>
      </rPr>
      <t>歲，</t>
    </r>
    <r>
      <rPr>
        <sz val="12"/>
        <rFont val="Times New Roman"/>
        <family val="1"/>
      </rPr>
      <t>109</t>
    </r>
    <r>
      <rPr>
        <sz val="12"/>
        <rFont val="標楷體"/>
        <family val="4"/>
        <charset val="136"/>
      </rPr>
      <t>年為</t>
    </r>
    <r>
      <rPr>
        <sz val="12"/>
        <rFont val="Times New Roman"/>
        <family val="1"/>
      </rPr>
      <t>62</t>
    </r>
    <r>
      <rPr>
        <sz val="12"/>
        <rFont val="標楷體"/>
        <family val="4"/>
        <charset val="136"/>
      </rPr>
      <t>歲，</t>
    </r>
    <r>
      <rPr>
        <sz val="12"/>
        <rFont val="Times New Roman"/>
        <family val="1"/>
      </rPr>
      <t>111</t>
    </r>
    <r>
      <rPr>
        <sz val="12"/>
        <rFont val="標楷體"/>
        <family val="4"/>
        <charset val="136"/>
      </rPr>
      <t>年為</t>
    </r>
    <r>
      <rPr>
        <sz val="12"/>
        <rFont val="Times New Roman"/>
        <family val="1"/>
      </rPr>
      <t>63</t>
    </r>
    <r>
      <rPr>
        <sz val="12"/>
        <rFont val="標楷體"/>
        <family val="4"/>
        <charset val="136"/>
      </rPr>
      <t>歲，</t>
    </r>
    <r>
      <rPr>
        <sz val="12"/>
        <rFont val="Times New Roman"/>
        <family val="1"/>
      </rPr>
      <t>113</t>
    </r>
    <r>
      <rPr>
        <sz val="12"/>
        <rFont val="標楷體"/>
        <family val="4"/>
        <charset val="136"/>
      </rPr>
      <t>年為</t>
    </r>
    <r>
      <rPr>
        <sz val="12"/>
        <rFont val="Times New Roman"/>
        <family val="1"/>
      </rPr>
      <t>64</t>
    </r>
    <r>
      <rPr>
        <sz val="12"/>
        <rFont val="標楷體"/>
        <family val="4"/>
        <charset val="136"/>
      </rPr>
      <t>歲，</t>
    </r>
    <r>
      <rPr>
        <sz val="12"/>
        <rFont val="Times New Roman"/>
        <family val="1"/>
      </rPr>
      <t>115</t>
    </r>
    <r>
      <rPr>
        <sz val="12"/>
        <rFont val="標楷體"/>
        <family val="4"/>
        <charset val="136"/>
      </rPr>
      <t>年以後為</t>
    </r>
    <r>
      <rPr>
        <sz val="12"/>
        <rFont val="Times New Roman"/>
        <family val="1"/>
      </rPr>
      <t>65</t>
    </r>
    <r>
      <rPr>
        <sz val="12"/>
        <rFont val="標楷體"/>
        <family val="4"/>
        <charset val="136"/>
      </rPr>
      <t>歲。給付金
　　　額＝平均月投保薪資</t>
    </r>
    <r>
      <rPr>
        <sz val="12"/>
        <rFont val="Times New Roman"/>
        <family val="1"/>
      </rPr>
      <t xml:space="preserve"> × </t>
    </r>
    <r>
      <rPr>
        <sz val="12"/>
        <rFont val="標楷體"/>
        <family val="4"/>
        <charset val="136"/>
      </rPr>
      <t>給付月數。平均月投保薪資按加保期間最高</t>
    </r>
    <r>
      <rPr>
        <sz val="12"/>
        <rFont val="Times New Roman"/>
        <family val="1"/>
      </rPr>
      <t>60</t>
    </r>
    <r>
      <rPr>
        <sz val="12"/>
        <rFont val="標楷體"/>
        <family val="4"/>
        <charset val="136"/>
      </rPr>
      <t>個月之月投保薪資平均計
　　　算；給付月數按保險年資計算，保險年資合計每滿</t>
    </r>
    <r>
      <rPr>
        <sz val="12"/>
        <rFont val="Times New Roman"/>
        <family val="1"/>
      </rPr>
      <t>1</t>
    </r>
    <r>
      <rPr>
        <sz val="12"/>
        <rFont val="標楷體"/>
        <family val="4"/>
        <charset val="136"/>
      </rPr>
      <t>年發給</t>
    </r>
    <r>
      <rPr>
        <sz val="12"/>
        <rFont val="Times New Roman"/>
        <family val="1"/>
      </rPr>
      <t>1</t>
    </r>
    <r>
      <rPr>
        <sz val="12"/>
        <rFont val="標楷體"/>
        <family val="4"/>
        <charset val="136"/>
      </rPr>
      <t>個月。
　　</t>
    </r>
    <r>
      <rPr>
        <sz val="12"/>
        <rFont val="Times New Roman"/>
        <family val="1"/>
      </rPr>
      <t xml:space="preserve">2. </t>
    </r>
    <r>
      <rPr>
        <sz val="12"/>
        <rFont val="標楷體"/>
        <family val="4"/>
        <charset val="136"/>
      </rPr>
      <t>老年一次金給付部分案件被保險人退保當時投保單位之地區不明，故本表總計包含無法歸類縣
　　　市別之男性</t>
    </r>
    <r>
      <rPr>
        <sz val="12"/>
        <rFont val="Times New Roman"/>
        <family val="1"/>
      </rPr>
      <t>0</t>
    </r>
    <r>
      <rPr>
        <sz val="12"/>
        <rFont val="標楷體"/>
        <family val="4"/>
        <charset val="136"/>
      </rPr>
      <t>件，</t>
    </r>
    <r>
      <rPr>
        <sz val="12"/>
        <rFont val="Times New Roman"/>
        <family val="1"/>
      </rPr>
      <t>0</t>
    </r>
    <r>
      <rPr>
        <sz val="12"/>
        <rFont val="標楷體"/>
        <family val="4"/>
        <charset val="136"/>
      </rPr>
      <t>元；女性</t>
    </r>
    <r>
      <rPr>
        <sz val="12"/>
        <rFont val="Times New Roman"/>
        <family val="1"/>
      </rPr>
      <t>3</t>
    </r>
    <r>
      <rPr>
        <sz val="12"/>
        <rFont val="標楷體"/>
        <family val="4"/>
        <charset val="136"/>
      </rPr>
      <t>件，</t>
    </r>
    <r>
      <rPr>
        <sz val="12"/>
        <rFont val="Times New Roman"/>
        <family val="1"/>
      </rPr>
      <t>41,504</t>
    </r>
    <r>
      <rPr>
        <sz val="12"/>
        <rFont val="標楷體"/>
        <family val="4"/>
        <charset val="136"/>
      </rPr>
      <t>元。
　　</t>
    </r>
    <r>
      <rPr>
        <sz val="12"/>
        <rFont val="Times New Roman"/>
        <family val="1"/>
      </rPr>
      <t xml:space="preserve">3. </t>
    </r>
    <r>
      <rPr>
        <sz val="12"/>
        <rFont val="標楷體"/>
        <family val="4"/>
        <charset val="136"/>
      </rPr>
      <t>老年一次金給付平均給付金額＝全年核付金額</t>
    </r>
    <r>
      <rPr>
        <sz val="12"/>
        <rFont val="Times New Roman"/>
        <family val="1"/>
      </rPr>
      <t xml:space="preserve"> ÷</t>
    </r>
    <r>
      <rPr>
        <sz val="12"/>
        <rFont val="標楷體"/>
        <family val="4"/>
        <charset val="136"/>
      </rPr>
      <t>全年核付件數。
　　</t>
    </r>
    <r>
      <rPr>
        <sz val="12"/>
        <rFont val="Times New Roman"/>
        <family val="1"/>
      </rPr>
      <t xml:space="preserve">4. </t>
    </r>
    <r>
      <rPr>
        <sz val="12"/>
        <rFont val="標楷體"/>
        <family val="4"/>
        <charset val="136"/>
      </rPr>
      <t>配合桃園縣改制為直轄市，自</t>
    </r>
    <r>
      <rPr>
        <sz val="12"/>
        <rFont val="Times New Roman"/>
        <family val="1"/>
      </rPr>
      <t>104</t>
    </r>
    <r>
      <rPr>
        <sz val="12"/>
        <rFont val="標楷體"/>
        <family val="4"/>
        <charset val="136"/>
      </rPr>
      <t>年起統計資料依改制後縣市別編製。</t>
    </r>
    <phoneticPr fontId="14" type="noConversion"/>
  </si>
  <si>
    <t>一次
請領
老年
給付
(件、元)</t>
    <phoneticPr fontId="4" type="noConversion"/>
  </si>
  <si>
    <t>老年
年金
給付
(人、元)</t>
    <phoneticPr fontId="4" type="noConversion"/>
  </si>
  <si>
    <t>一次
請領
老年
給付
(件、元)</t>
    <phoneticPr fontId="4" type="noConversion"/>
  </si>
  <si>
    <t>老年
年金
給付
(人、元)</t>
    <phoneticPr fontId="4" type="noConversion"/>
  </si>
  <si>
    <t>老年
一次金
(件、元)</t>
    <phoneticPr fontId="4" type="noConversion"/>
  </si>
  <si>
    <t>老年
一次金
(件、元)</t>
    <phoneticPr fontId="4" type="noConversion"/>
  </si>
  <si>
    <t>老年
差額金
(件、元)</t>
    <phoneticPr fontId="4" type="noConversion"/>
  </si>
  <si>
    <t>老年
差額金
(件、元)</t>
    <phoneticPr fontId="4" type="noConversion"/>
  </si>
  <si>
    <t>勞工保險一次請領老年給付平均給付金額－按縣市及年齡組別分</t>
    <phoneticPr fontId="4" type="noConversion"/>
  </si>
  <si>
    <t>一次
請領
老年
給付
(件、元)</t>
    <phoneticPr fontId="4" type="noConversion"/>
  </si>
  <si>
    <t>一次
請領
老年
給付
平均
每件
給付
金額
(元)</t>
    <phoneticPr fontId="4" type="noConversion"/>
  </si>
  <si>
    <r>
      <rPr>
        <sz val="12"/>
        <rFont val="標楷體"/>
        <family val="4"/>
        <charset val="136"/>
      </rPr>
      <t>註：</t>
    </r>
    <r>
      <rPr>
        <sz val="12"/>
        <rFont val="Times New Roman"/>
        <family val="1"/>
      </rPr>
      <t xml:space="preserve">1. </t>
    </r>
    <r>
      <rPr>
        <sz val="12"/>
        <rFont val="標楷體"/>
        <family val="4"/>
        <charset val="136"/>
      </rPr>
      <t>老年一次金給付係指被保險人年滿</t>
    </r>
    <r>
      <rPr>
        <sz val="12"/>
        <rFont val="Times New Roman"/>
        <family val="1"/>
      </rPr>
      <t>60</t>
    </r>
    <r>
      <rPr>
        <sz val="12"/>
        <rFont val="標楷體"/>
        <family val="4"/>
        <charset val="136"/>
      </rPr>
      <t>歲，保險年資合計未滿</t>
    </r>
    <r>
      <rPr>
        <sz val="12"/>
        <rFont val="Times New Roman"/>
        <family val="1"/>
      </rPr>
      <t>15</t>
    </r>
    <r>
      <rPr>
        <sz val="12"/>
        <rFont val="標楷體"/>
        <family val="4"/>
        <charset val="136"/>
      </rPr>
      <t>年，並辦理離職退保者。請領年
　　　齡自</t>
    </r>
    <r>
      <rPr>
        <sz val="12"/>
        <rFont val="Times New Roman"/>
        <family val="1"/>
      </rPr>
      <t>107</t>
    </r>
    <r>
      <rPr>
        <sz val="12"/>
        <rFont val="標楷體"/>
        <family val="4"/>
        <charset val="136"/>
      </rPr>
      <t>年提高為</t>
    </r>
    <r>
      <rPr>
        <sz val="12"/>
        <rFont val="Times New Roman"/>
        <family val="1"/>
      </rPr>
      <t>61</t>
    </r>
    <r>
      <rPr>
        <sz val="12"/>
        <rFont val="標楷體"/>
        <family val="4"/>
        <charset val="136"/>
      </rPr>
      <t>歲，</t>
    </r>
    <r>
      <rPr>
        <sz val="12"/>
        <rFont val="Times New Roman"/>
        <family val="1"/>
      </rPr>
      <t>109</t>
    </r>
    <r>
      <rPr>
        <sz val="12"/>
        <rFont val="標楷體"/>
        <family val="4"/>
        <charset val="136"/>
      </rPr>
      <t>年為</t>
    </r>
    <r>
      <rPr>
        <sz val="12"/>
        <rFont val="Times New Roman"/>
        <family val="1"/>
      </rPr>
      <t>62</t>
    </r>
    <r>
      <rPr>
        <sz val="12"/>
        <rFont val="標楷體"/>
        <family val="4"/>
        <charset val="136"/>
      </rPr>
      <t>歲，</t>
    </r>
    <r>
      <rPr>
        <sz val="12"/>
        <rFont val="Times New Roman"/>
        <family val="1"/>
      </rPr>
      <t>111</t>
    </r>
    <r>
      <rPr>
        <sz val="12"/>
        <rFont val="標楷體"/>
        <family val="4"/>
        <charset val="136"/>
      </rPr>
      <t>年為</t>
    </r>
    <r>
      <rPr>
        <sz val="12"/>
        <rFont val="Times New Roman"/>
        <family val="1"/>
      </rPr>
      <t>63</t>
    </r>
    <r>
      <rPr>
        <sz val="12"/>
        <rFont val="標楷體"/>
        <family val="4"/>
        <charset val="136"/>
      </rPr>
      <t>歲，</t>
    </r>
    <r>
      <rPr>
        <sz val="12"/>
        <rFont val="Times New Roman"/>
        <family val="1"/>
      </rPr>
      <t>113</t>
    </r>
    <r>
      <rPr>
        <sz val="12"/>
        <rFont val="標楷體"/>
        <family val="4"/>
        <charset val="136"/>
      </rPr>
      <t>年為</t>
    </r>
    <r>
      <rPr>
        <sz val="12"/>
        <rFont val="Times New Roman"/>
        <family val="1"/>
      </rPr>
      <t>64</t>
    </r>
    <r>
      <rPr>
        <sz val="12"/>
        <rFont val="標楷體"/>
        <family val="4"/>
        <charset val="136"/>
      </rPr>
      <t>歲，</t>
    </r>
    <r>
      <rPr>
        <sz val="12"/>
        <rFont val="Times New Roman"/>
        <family val="1"/>
      </rPr>
      <t>115</t>
    </r>
    <r>
      <rPr>
        <sz val="12"/>
        <rFont val="標楷體"/>
        <family val="4"/>
        <charset val="136"/>
      </rPr>
      <t>年以後為</t>
    </r>
    <r>
      <rPr>
        <sz val="12"/>
        <rFont val="Times New Roman"/>
        <family val="1"/>
      </rPr>
      <t>65</t>
    </r>
    <r>
      <rPr>
        <sz val="12"/>
        <rFont val="標楷體"/>
        <family val="4"/>
        <charset val="136"/>
      </rPr>
      <t>歲。給付金
　　　額＝平均月投保薪資</t>
    </r>
    <r>
      <rPr>
        <sz val="12"/>
        <rFont val="Times New Roman"/>
        <family val="1"/>
      </rPr>
      <t xml:space="preserve"> × </t>
    </r>
    <r>
      <rPr>
        <sz val="12"/>
        <rFont val="標楷體"/>
        <family val="4"/>
        <charset val="136"/>
      </rPr>
      <t>給付月數。平均月投保薪資按加保期間最高</t>
    </r>
    <r>
      <rPr>
        <sz val="12"/>
        <rFont val="Times New Roman"/>
        <family val="1"/>
      </rPr>
      <t>60</t>
    </r>
    <r>
      <rPr>
        <sz val="12"/>
        <rFont val="標楷體"/>
        <family val="4"/>
        <charset val="136"/>
      </rPr>
      <t>個月之月投保薪資平均計
　　　算；給付月數按保險年資計算，保險年資合計每滿</t>
    </r>
    <r>
      <rPr>
        <sz val="12"/>
        <rFont val="Times New Roman"/>
        <family val="1"/>
      </rPr>
      <t>1</t>
    </r>
    <r>
      <rPr>
        <sz val="12"/>
        <rFont val="標楷體"/>
        <family val="4"/>
        <charset val="136"/>
      </rPr>
      <t>年發給</t>
    </r>
    <r>
      <rPr>
        <sz val="12"/>
        <rFont val="Times New Roman"/>
        <family val="1"/>
      </rPr>
      <t>1</t>
    </r>
    <r>
      <rPr>
        <sz val="12"/>
        <rFont val="標楷體"/>
        <family val="4"/>
        <charset val="136"/>
      </rPr>
      <t>個月。
　　</t>
    </r>
    <r>
      <rPr>
        <sz val="12"/>
        <rFont val="Times New Roman"/>
        <family val="1"/>
      </rPr>
      <t xml:space="preserve">2. </t>
    </r>
    <r>
      <rPr>
        <sz val="12"/>
        <rFont val="標楷體"/>
        <family val="4"/>
        <charset val="136"/>
      </rPr>
      <t>老年一次金給付部分案件被保險人退保當時投保單位之縣市不明，故本表總計包含無法歸類縣
　　　市之男性</t>
    </r>
    <r>
      <rPr>
        <sz val="12"/>
        <rFont val="Times New Roman"/>
        <family val="1"/>
      </rPr>
      <t>0</t>
    </r>
    <r>
      <rPr>
        <sz val="12"/>
        <rFont val="標楷體"/>
        <family val="4"/>
        <charset val="136"/>
      </rPr>
      <t>件，</t>
    </r>
    <r>
      <rPr>
        <sz val="12"/>
        <rFont val="Times New Roman"/>
        <family val="1"/>
      </rPr>
      <t>0</t>
    </r>
    <r>
      <rPr>
        <sz val="12"/>
        <rFont val="標楷體"/>
        <family val="4"/>
        <charset val="136"/>
      </rPr>
      <t>元；女性</t>
    </r>
    <r>
      <rPr>
        <sz val="12"/>
        <rFont val="Times New Roman"/>
        <family val="1"/>
      </rPr>
      <t>2</t>
    </r>
    <r>
      <rPr>
        <sz val="12"/>
        <rFont val="標楷體"/>
        <family val="4"/>
        <charset val="136"/>
      </rPr>
      <t>件，</t>
    </r>
    <r>
      <rPr>
        <sz val="12"/>
        <rFont val="Times New Roman"/>
        <family val="1"/>
      </rPr>
      <t>14,265</t>
    </r>
    <r>
      <rPr>
        <sz val="12"/>
        <rFont val="標楷體"/>
        <family val="4"/>
        <charset val="136"/>
      </rPr>
      <t>元。
　　</t>
    </r>
    <r>
      <rPr>
        <sz val="12"/>
        <rFont val="Times New Roman"/>
        <family val="1"/>
      </rPr>
      <t xml:space="preserve">3. </t>
    </r>
    <r>
      <rPr>
        <sz val="12"/>
        <rFont val="標楷體"/>
        <family val="4"/>
        <charset val="136"/>
      </rPr>
      <t>老年一次金給付平均給付金額＝全年核付金額</t>
    </r>
    <r>
      <rPr>
        <sz val="12"/>
        <rFont val="Times New Roman"/>
        <family val="1"/>
      </rPr>
      <t xml:space="preserve"> ÷</t>
    </r>
    <r>
      <rPr>
        <sz val="12"/>
        <rFont val="標楷體"/>
        <family val="4"/>
        <charset val="136"/>
      </rPr>
      <t>全年核付件數。</t>
    </r>
    <phoneticPr fontId="14" type="noConversion"/>
  </si>
  <si>
    <t>平均
核付
人數</t>
    <phoneticPr fontId="4" type="noConversion"/>
  </si>
  <si>
    <r>
      <rPr>
        <sz val="12"/>
        <rFont val="標楷體"/>
        <family val="4"/>
        <charset val="136"/>
      </rPr>
      <t>平均
核付
人數</t>
    </r>
  </si>
  <si>
    <r>
      <rPr>
        <sz val="12"/>
        <rFont val="標楷體"/>
        <family val="4"/>
        <charset val="136"/>
      </rPr>
      <t>註：</t>
    </r>
    <r>
      <rPr>
        <sz val="12"/>
        <rFont val="Times New Roman"/>
        <family val="1"/>
      </rPr>
      <t xml:space="preserve">1. </t>
    </r>
    <r>
      <rPr>
        <sz val="12"/>
        <rFont val="標楷體"/>
        <family val="4"/>
        <charset val="136"/>
      </rPr>
      <t>老年年金給付係指被保險人年滿</t>
    </r>
    <r>
      <rPr>
        <sz val="12"/>
        <rFont val="Times New Roman"/>
        <family val="1"/>
      </rPr>
      <t>60</t>
    </r>
    <r>
      <rPr>
        <sz val="12"/>
        <rFont val="標楷體"/>
        <family val="4"/>
        <charset val="136"/>
      </rPr>
      <t>歲，保險年資合計滿</t>
    </r>
    <r>
      <rPr>
        <sz val="12"/>
        <rFont val="Times New Roman"/>
        <family val="1"/>
      </rPr>
      <t>15</t>
    </r>
    <r>
      <rPr>
        <sz val="12"/>
        <rFont val="標楷體"/>
        <family val="4"/>
        <charset val="136"/>
      </rPr>
      <t>年，並辦理離職退保者。請領年齡
　　　自</t>
    </r>
    <r>
      <rPr>
        <sz val="12"/>
        <rFont val="Times New Roman"/>
        <family val="1"/>
      </rPr>
      <t>107</t>
    </r>
    <r>
      <rPr>
        <sz val="12"/>
        <rFont val="標楷體"/>
        <family val="4"/>
        <charset val="136"/>
      </rPr>
      <t>年提高為</t>
    </r>
    <r>
      <rPr>
        <sz val="12"/>
        <rFont val="Times New Roman"/>
        <family val="1"/>
      </rPr>
      <t>61</t>
    </r>
    <r>
      <rPr>
        <sz val="12"/>
        <rFont val="標楷體"/>
        <family val="4"/>
        <charset val="136"/>
      </rPr>
      <t>歲，</t>
    </r>
    <r>
      <rPr>
        <sz val="12"/>
        <rFont val="Times New Roman"/>
        <family val="1"/>
      </rPr>
      <t>109</t>
    </r>
    <r>
      <rPr>
        <sz val="12"/>
        <rFont val="標楷體"/>
        <family val="4"/>
        <charset val="136"/>
      </rPr>
      <t>年為</t>
    </r>
    <r>
      <rPr>
        <sz val="12"/>
        <rFont val="Times New Roman"/>
        <family val="1"/>
      </rPr>
      <t>62</t>
    </r>
    <r>
      <rPr>
        <sz val="12"/>
        <rFont val="標楷體"/>
        <family val="4"/>
        <charset val="136"/>
      </rPr>
      <t>歲，</t>
    </r>
    <r>
      <rPr>
        <sz val="12"/>
        <rFont val="Times New Roman"/>
        <family val="1"/>
      </rPr>
      <t>111</t>
    </r>
    <r>
      <rPr>
        <sz val="12"/>
        <rFont val="標楷體"/>
        <family val="4"/>
        <charset val="136"/>
      </rPr>
      <t>年為</t>
    </r>
    <r>
      <rPr>
        <sz val="12"/>
        <rFont val="Times New Roman"/>
        <family val="1"/>
      </rPr>
      <t>63</t>
    </r>
    <r>
      <rPr>
        <sz val="12"/>
        <rFont val="標楷體"/>
        <family val="4"/>
        <charset val="136"/>
      </rPr>
      <t>歲，</t>
    </r>
    <r>
      <rPr>
        <sz val="12"/>
        <rFont val="Times New Roman"/>
        <family val="1"/>
      </rPr>
      <t>113</t>
    </r>
    <r>
      <rPr>
        <sz val="12"/>
        <rFont val="標楷體"/>
        <family val="4"/>
        <charset val="136"/>
      </rPr>
      <t>年為</t>
    </r>
    <r>
      <rPr>
        <sz val="12"/>
        <rFont val="Times New Roman"/>
        <family val="1"/>
      </rPr>
      <t>64</t>
    </r>
    <r>
      <rPr>
        <sz val="12"/>
        <rFont val="標楷體"/>
        <family val="4"/>
        <charset val="136"/>
      </rPr>
      <t>歲，</t>
    </r>
    <r>
      <rPr>
        <sz val="12"/>
        <rFont val="Times New Roman"/>
        <family val="1"/>
      </rPr>
      <t>115</t>
    </r>
    <r>
      <rPr>
        <sz val="12"/>
        <rFont val="標楷體"/>
        <family val="4"/>
        <charset val="136"/>
      </rPr>
      <t>年以後為</t>
    </r>
    <r>
      <rPr>
        <sz val="12"/>
        <rFont val="Times New Roman"/>
        <family val="1"/>
      </rPr>
      <t>65</t>
    </r>
    <r>
      <rPr>
        <sz val="12"/>
        <rFont val="標楷體"/>
        <family val="4"/>
        <charset val="136"/>
      </rPr>
      <t>歲。依下列</t>
    </r>
    <r>
      <rPr>
        <sz val="12"/>
        <rFont val="Times New Roman"/>
        <family val="1"/>
      </rPr>
      <t xml:space="preserve">
</t>
    </r>
    <r>
      <rPr>
        <sz val="12"/>
        <rFont val="標楷體"/>
        <family val="4"/>
        <charset val="136"/>
      </rPr>
      <t>　　　</t>
    </r>
    <r>
      <rPr>
        <sz val="12"/>
        <rFont val="Times New Roman"/>
        <family val="1"/>
      </rPr>
      <t>2</t>
    </r>
    <r>
      <rPr>
        <sz val="12"/>
        <rFont val="標楷體"/>
        <family val="4"/>
        <charset val="136"/>
      </rPr>
      <t>種方式擇優發給：</t>
    </r>
    <r>
      <rPr>
        <sz val="12"/>
        <rFont val="Times New Roman"/>
        <family val="1"/>
      </rPr>
      <t>(1)</t>
    </r>
    <r>
      <rPr>
        <sz val="12"/>
        <rFont val="標楷體"/>
        <family val="4"/>
        <charset val="136"/>
      </rPr>
      <t>平均月投保薪資</t>
    </r>
    <r>
      <rPr>
        <sz val="12"/>
        <rFont val="Times New Roman"/>
        <family val="1"/>
      </rPr>
      <t>×</t>
    </r>
    <r>
      <rPr>
        <sz val="12"/>
        <rFont val="標楷體"/>
        <family val="4"/>
        <charset val="136"/>
      </rPr>
      <t>年資</t>
    </r>
    <r>
      <rPr>
        <sz val="12"/>
        <rFont val="Times New Roman"/>
        <family val="1"/>
      </rPr>
      <t>×0.775%+3,000</t>
    </r>
    <r>
      <rPr>
        <sz val="12"/>
        <rFont val="標楷體"/>
        <family val="4"/>
        <charset val="136"/>
      </rPr>
      <t>元；</t>
    </r>
    <r>
      <rPr>
        <sz val="12"/>
        <rFont val="Times New Roman"/>
        <family val="1"/>
      </rPr>
      <t>(2)</t>
    </r>
    <r>
      <rPr>
        <sz val="12"/>
        <rFont val="標楷體"/>
        <family val="4"/>
        <charset val="136"/>
      </rPr>
      <t>平均月投保薪資</t>
    </r>
    <r>
      <rPr>
        <sz val="12"/>
        <rFont val="Times New Roman"/>
        <family val="1"/>
      </rPr>
      <t>×</t>
    </r>
    <r>
      <rPr>
        <sz val="12"/>
        <rFont val="標楷體"/>
        <family val="4"/>
        <charset val="136"/>
      </rPr>
      <t>年資</t>
    </r>
    <r>
      <rPr>
        <sz val="12"/>
        <rFont val="Times New Roman"/>
        <family val="1"/>
      </rPr>
      <t>×</t>
    </r>
    <r>
      <rPr>
        <sz val="12"/>
        <rFont val="標楷體"/>
        <family val="4"/>
        <charset val="136"/>
      </rPr>
      <t xml:space="preserve">
　　　</t>
    </r>
    <r>
      <rPr>
        <sz val="12"/>
        <rFont val="Times New Roman"/>
        <family val="1"/>
      </rPr>
      <t>1.55%</t>
    </r>
    <r>
      <rPr>
        <sz val="12"/>
        <rFont val="標楷體"/>
        <family val="4"/>
        <charset val="136"/>
      </rPr>
      <t>；平均月投保薪資按加保期間最高</t>
    </r>
    <r>
      <rPr>
        <sz val="12"/>
        <rFont val="Times New Roman"/>
        <family val="1"/>
      </rPr>
      <t>60</t>
    </r>
    <r>
      <rPr>
        <sz val="12"/>
        <rFont val="標楷體"/>
        <family val="4"/>
        <charset val="136"/>
      </rPr>
      <t>個月之月投保薪資平均計算。未達請領年齡而提前
　　　請領者，每提前</t>
    </r>
    <r>
      <rPr>
        <sz val="12"/>
        <rFont val="Times New Roman"/>
        <family val="1"/>
      </rPr>
      <t>1</t>
    </r>
    <r>
      <rPr>
        <sz val="12"/>
        <rFont val="標楷體"/>
        <family val="4"/>
        <charset val="136"/>
      </rPr>
      <t>年按給付金額減給</t>
    </r>
    <r>
      <rPr>
        <sz val="12"/>
        <rFont val="Times New Roman"/>
        <family val="1"/>
      </rPr>
      <t>4%</t>
    </r>
    <r>
      <rPr>
        <sz val="12"/>
        <rFont val="標楷體"/>
        <family val="4"/>
        <charset val="136"/>
      </rPr>
      <t>，最多提前</t>
    </r>
    <r>
      <rPr>
        <sz val="12"/>
        <rFont val="Times New Roman"/>
        <family val="1"/>
      </rPr>
      <t>5</t>
    </r>
    <r>
      <rPr>
        <sz val="12"/>
        <rFont val="標楷體"/>
        <family val="4"/>
        <charset val="136"/>
      </rPr>
      <t>年減給</t>
    </r>
    <r>
      <rPr>
        <sz val="12"/>
        <rFont val="Times New Roman"/>
        <family val="1"/>
      </rPr>
      <t>20%</t>
    </r>
    <r>
      <rPr>
        <sz val="12"/>
        <rFont val="標楷體"/>
        <family val="4"/>
        <charset val="136"/>
      </rPr>
      <t>；符合老年年金給付請領年齡
　　　而延後請領者，每延後</t>
    </r>
    <r>
      <rPr>
        <sz val="12"/>
        <rFont val="Times New Roman"/>
        <family val="1"/>
      </rPr>
      <t>1</t>
    </r>
    <r>
      <rPr>
        <sz val="12"/>
        <rFont val="標楷體"/>
        <family val="4"/>
        <charset val="136"/>
      </rPr>
      <t>年按給付金額增給</t>
    </r>
    <r>
      <rPr>
        <sz val="12"/>
        <rFont val="Times New Roman"/>
        <family val="1"/>
      </rPr>
      <t>4%</t>
    </r>
    <r>
      <rPr>
        <sz val="12"/>
        <rFont val="標楷體"/>
        <family val="4"/>
        <charset val="136"/>
      </rPr>
      <t>，最多增給</t>
    </r>
    <r>
      <rPr>
        <sz val="12"/>
        <rFont val="Times New Roman"/>
        <family val="1"/>
      </rPr>
      <t>20%</t>
    </r>
    <r>
      <rPr>
        <sz val="12"/>
        <rFont val="標楷體"/>
        <family val="4"/>
        <charset val="136"/>
      </rPr>
      <t>。
　　</t>
    </r>
    <r>
      <rPr>
        <sz val="12"/>
        <rFont val="Times New Roman"/>
        <family val="1"/>
      </rPr>
      <t xml:space="preserve">2. </t>
    </r>
    <r>
      <rPr>
        <sz val="12"/>
        <rFont val="標楷體"/>
        <family val="4"/>
        <charset val="136"/>
      </rPr>
      <t>老年年金給付部分案件被保險人退保當時投保單位之縣市不明，故本表總計包含無法歸類縣
　　　市之男性</t>
    </r>
    <r>
      <rPr>
        <sz val="12"/>
        <rFont val="Times New Roman"/>
        <family val="1"/>
      </rPr>
      <t>52,872</t>
    </r>
    <r>
      <rPr>
        <sz val="12"/>
        <rFont val="標楷體"/>
        <family val="4"/>
        <charset val="136"/>
      </rPr>
      <t>元；女性</t>
    </r>
    <r>
      <rPr>
        <sz val="12"/>
        <rFont val="Times New Roman"/>
        <family val="1"/>
      </rPr>
      <t>0</t>
    </r>
    <r>
      <rPr>
        <sz val="12"/>
        <rFont val="標楷體"/>
        <family val="4"/>
        <charset val="136"/>
      </rPr>
      <t>元。
　　</t>
    </r>
    <r>
      <rPr>
        <sz val="12"/>
        <rFont val="Times New Roman"/>
        <family val="1"/>
      </rPr>
      <t xml:space="preserve">3. </t>
    </r>
    <r>
      <rPr>
        <sz val="12"/>
        <rFont val="標楷體"/>
        <family val="4"/>
        <charset val="136"/>
      </rPr>
      <t>老年年金給付平均月領金額＝全年核付金額</t>
    </r>
    <r>
      <rPr>
        <sz val="12"/>
        <rFont val="Times New Roman"/>
        <family val="1"/>
      </rPr>
      <t xml:space="preserve"> ÷</t>
    </r>
    <r>
      <rPr>
        <sz val="12"/>
        <rFont val="標楷體"/>
        <family val="4"/>
        <charset val="136"/>
      </rPr>
      <t>平均核付人數÷</t>
    </r>
    <r>
      <rPr>
        <sz val="12"/>
        <rFont val="Times New Roman"/>
        <family val="1"/>
      </rPr>
      <t>12</t>
    </r>
    <r>
      <rPr>
        <sz val="12"/>
        <rFont val="標楷體"/>
        <family val="4"/>
        <charset val="136"/>
      </rPr>
      <t>。
　　</t>
    </r>
    <r>
      <rPr>
        <sz val="12"/>
        <rFont val="Times New Roman"/>
        <family val="1"/>
      </rPr>
      <t xml:space="preserve">4. </t>
    </r>
    <r>
      <rPr>
        <sz val="12"/>
        <rFont val="標楷體"/>
        <family val="4"/>
        <charset val="136"/>
      </rPr>
      <t>本表部分數字因四捨五入關係，致細項之和與總計略有出入。</t>
    </r>
    <phoneticPr fontId="14" type="noConversion"/>
  </si>
  <si>
    <r>
      <rPr>
        <sz val="12"/>
        <rFont val="標楷體"/>
        <family val="4"/>
        <charset val="136"/>
      </rPr>
      <t>註：</t>
    </r>
    <r>
      <rPr>
        <sz val="12"/>
        <rFont val="Times New Roman"/>
        <family val="1"/>
      </rPr>
      <t xml:space="preserve">1. </t>
    </r>
    <r>
      <rPr>
        <sz val="12"/>
        <rFont val="標楷體"/>
        <family val="4"/>
        <charset val="136"/>
      </rPr>
      <t>老年年金給付係指被保險人年滿</t>
    </r>
    <r>
      <rPr>
        <sz val="12"/>
        <rFont val="Times New Roman"/>
        <family val="1"/>
      </rPr>
      <t>60</t>
    </r>
    <r>
      <rPr>
        <sz val="12"/>
        <rFont val="標楷體"/>
        <family val="4"/>
        <charset val="136"/>
      </rPr>
      <t>歲，保險年資合計滿</t>
    </r>
    <r>
      <rPr>
        <sz val="12"/>
        <rFont val="Times New Roman"/>
        <family val="1"/>
      </rPr>
      <t>15</t>
    </r>
    <r>
      <rPr>
        <sz val="12"/>
        <rFont val="標楷體"/>
        <family val="4"/>
        <charset val="136"/>
      </rPr>
      <t>年，並辦理離職退保者。請領年齡
　　　自</t>
    </r>
    <r>
      <rPr>
        <sz val="12"/>
        <rFont val="Times New Roman"/>
        <family val="1"/>
      </rPr>
      <t>107</t>
    </r>
    <r>
      <rPr>
        <sz val="12"/>
        <rFont val="標楷體"/>
        <family val="4"/>
        <charset val="136"/>
      </rPr>
      <t>年提高為</t>
    </r>
    <r>
      <rPr>
        <sz val="12"/>
        <rFont val="Times New Roman"/>
        <family val="1"/>
      </rPr>
      <t>61</t>
    </r>
    <r>
      <rPr>
        <sz val="12"/>
        <rFont val="標楷體"/>
        <family val="4"/>
        <charset val="136"/>
      </rPr>
      <t>歲，</t>
    </r>
    <r>
      <rPr>
        <sz val="12"/>
        <rFont val="Times New Roman"/>
        <family val="1"/>
      </rPr>
      <t>109</t>
    </r>
    <r>
      <rPr>
        <sz val="12"/>
        <rFont val="標楷體"/>
        <family val="4"/>
        <charset val="136"/>
      </rPr>
      <t>年為</t>
    </r>
    <r>
      <rPr>
        <sz val="12"/>
        <rFont val="Times New Roman"/>
        <family val="1"/>
      </rPr>
      <t>62</t>
    </r>
    <r>
      <rPr>
        <sz val="12"/>
        <rFont val="標楷體"/>
        <family val="4"/>
        <charset val="136"/>
      </rPr>
      <t>歲，</t>
    </r>
    <r>
      <rPr>
        <sz val="12"/>
        <rFont val="Times New Roman"/>
        <family val="1"/>
      </rPr>
      <t>111</t>
    </r>
    <r>
      <rPr>
        <sz val="12"/>
        <rFont val="標楷體"/>
        <family val="4"/>
        <charset val="136"/>
      </rPr>
      <t>年為</t>
    </r>
    <r>
      <rPr>
        <sz val="12"/>
        <rFont val="Times New Roman"/>
        <family val="1"/>
      </rPr>
      <t>63</t>
    </r>
    <r>
      <rPr>
        <sz val="12"/>
        <rFont val="標楷體"/>
        <family val="4"/>
        <charset val="136"/>
      </rPr>
      <t>歲，</t>
    </r>
    <r>
      <rPr>
        <sz val="12"/>
        <rFont val="Times New Roman"/>
        <family val="1"/>
      </rPr>
      <t>113</t>
    </r>
    <r>
      <rPr>
        <sz val="12"/>
        <rFont val="標楷體"/>
        <family val="4"/>
        <charset val="136"/>
      </rPr>
      <t>年為</t>
    </r>
    <r>
      <rPr>
        <sz val="12"/>
        <rFont val="Times New Roman"/>
        <family val="1"/>
      </rPr>
      <t>64</t>
    </r>
    <r>
      <rPr>
        <sz val="12"/>
        <rFont val="標楷體"/>
        <family val="4"/>
        <charset val="136"/>
      </rPr>
      <t>歲，</t>
    </r>
    <r>
      <rPr>
        <sz val="12"/>
        <rFont val="Times New Roman"/>
        <family val="1"/>
      </rPr>
      <t>115</t>
    </r>
    <r>
      <rPr>
        <sz val="12"/>
        <rFont val="標楷體"/>
        <family val="4"/>
        <charset val="136"/>
      </rPr>
      <t>年以後為</t>
    </r>
    <r>
      <rPr>
        <sz val="12"/>
        <rFont val="Times New Roman"/>
        <family val="1"/>
      </rPr>
      <t>65</t>
    </r>
    <r>
      <rPr>
        <sz val="12"/>
        <rFont val="標楷體"/>
        <family val="4"/>
        <charset val="136"/>
      </rPr>
      <t>歲。依下列</t>
    </r>
    <r>
      <rPr>
        <sz val="12"/>
        <rFont val="Times New Roman"/>
        <family val="1"/>
      </rPr>
      <t xml:space="preserve">
</t>
    </r>
    <r>
      <rPr>
        <sz val="12"/>
        <rFont val="標楷體"/>
        <family val="4"/>
        <charset val="136"/>
      </rPr>
      <t>　　　</t>
    </r>
    <r>
      <rPr>
        <sz val="12"/>
        <rFont val="Times New Roman"/>
        <family val="1"/>
      </rPr>
      <t>2</t>
    </r>
    <r>
      <rPr>
        <sz val="12"/>
        <rFont val="標楷體"/>
        <family val="4"/>
        <charset val="136"/>
      </rPr>
      <t>種方式擇優發給：</t>
    </r>
    <r>
      <rPr>
        <sz val="12"/>
        <rFont val="Times New Roman"/>
        <family val="1"/>
      </rPr>
      <t>(1)</t>
    </r>
    <r>
      <rPr>
        <sz val="12"/>
        <rFont val="標楷體"/>
        <family val="4"/>
        <charset val="136"/>
      </rPr>
      <t>平均月投保薪資×年資</t>
    </r>
    <r>
      <rPr>
        <sz val="12"/>
        <rFont val="Times New Roman"/>
        <family val="1"/>
      </rPr>
      <t>×0.775%+3,000</t>
    </r>
    <r>
      <rPr>
        <sz val="12"/>
        <rFont val="標楷體"/>
        <family val="4"/>
        <charset val="136"/>
      </rPr>
      <t>元；</t>
    </r>
    <r>
      <rPr>
        <sz val="12"/>
        <rFont val="Times New Roman"/>
        <family val="1"/>
      </rPr>
      <t>(2)</t>
    </r>
    <r>
      <rPr>
        <sz val="12"/>
        <rFont val="標楷體"/>
        <family val="4"/>
        <charset val="136"/>
      </rPr>
      <t>平均月投保薪資</t>
    </r>
    <r>
      <rPr>
        <sz val="12"/>
        <rFont val="Times New Roman"/>
        <family val="1"/>
      </rPr>
      <t>×</t>
    </r>
    <r>
      <rPr>
        <sz val="12"/>
        <rFont val="標楷體"/>
        <family val="4"/>
        <charset val="136"/>
      </rPr>
      <t>年資</t>
    </r>
    <r>
      <rPr>
        <sz val="12"/>
        <rFont val="Times New Roman"/>
        <family val="1"/>
      </rPr>
      <t>×</t>
    </r>
    <r>
      <rPr>
        <sz val="12"/>
        <rFont val="標楷體"/>
        <family val="4"/>
        <charset val="136"/>
      </rPr>
      <t xml:space="preserve">
　　　</t>
    </r>
    <r>
      <rPr>
        <sz val="12"/>
        <rFont val="Times New Roman"/>
        <family val="1"/>
      </rPr>
      <t>1.55%</t>
    </r>
    <r>
      <rPr>
        <sz val="12"/>
        <rFont val="標楷體"/>
        <family val="4"/>
        <charset val="136"/>
      </rPr>
      <t>；平均月投保薪資按加保期間最高</t>
    </r>
    <r>
      <rPr>
        <sz val="12"/>
        <rFont val="Times New Roman"/>
        <family val="1"/>
      </rPr>
      <t>60</t>
    </r>
    <r>
      <rPr>
        <sz val="12"/>
        <rFont val="標楷體"/>
        <family val="4"/>
        <charset val="136"/>
      </rPr>
      <t>個月之月投保薪資平均計算。未達請領年齡而提前
　　　請領者，每提前</t>
    </r>
    <r>
      <rPr>
        <sz val="12"/>
        <rFont val="Times New Roman"/>
        <family val="1"/>
      </rPr>
      <t>1</t>
    </r>
    <r>
      <rPr>
        <sz val="12"/>
        <rFont val="標楷體"/>
        <family val="4"/>
        <charset val="136"/>
      </rPr>
      <t>年按給付金額減給</t>
    </r>
    <r>
      <rPr>
        <sz val="12"/>
        <rFont val="Times New Roman"/>
        <family val="1"/>
      </rPr>
      <t>4%</t>
    </r>
    <r>
      <rPr>
        <sz val="12"/>
        <rFont val="標楷體"/>
        <family val="4"/>
        <charset val="136"/>
      </rPr>
      <t>，最多提前</t>
    </r>
    <r>
      <rPr>
        <sz val="12"/>
        <rFont val="Times New Roman"/>
        <family val="1"/>
      </rPr>
      <t>5</t>
    </r>
    <r>
      <rPr>
        <sz val="12"/>
        <rFont val="標楷體"/>
        <family val="4"/>
        <charset val="136"/>
      </rPr>
      <t>年減給</t>
    </r>
    <r>
      <rPr>
        <sz val="12"/>
        <rFont val="Times New Roman"/>
        <family val="1"/>
      </rPr>
      <t>20%</t>
    </r>
    <r>
      <rPr>
        <sz val="12"/>
        <rFont val="標楷體"/>
        <family val="4"/>
        <charset val="136"/>
      </rPr>
      <t>；符合老年年金給付請領年齡
　　　而延後請領者，每延後</t>
    </r>
    <r>
      <rPr>
        <sz val="12"/>
        <rFont val="Times New Roman"/>
        <family val="1"/>
      </rPr>
      <t>1</t>
    </r>
    <r>
      <rPr>
        <sz val="12"/>
        <rFont val="標楷體"/>
        <family val="4"/>
        <charset val="136"/>
      </rPr>
      <t>年按給付金額增給</t>
    </r>
    <r>
      <rPr>
        <sz val="12"/>
        <rFont val="Times New Roman"/>
        <family val="1"/>
      </rPr>
      <t>4%</t>
    </r>
    <r>
      <rPr>
        <sz val="12"/>
        <rFont val="標楷體"/>
        <family val="4"/>
        <charset val="136"/>
      </rPr>
      <t>，最多增給</t>
    </r>
    <r>
      <rPr>
        <sz val="12"/>
        <rFont val="Times New Roman"/>
        <family val="1"/>
      </rPr>
      <t>20%</t>
    </r>
    <r>
      <rPr>
        <sz val="12"/>
        <rFont val="標楷體"/>
        <family val="4"/>
        <charset val="136"/>
      </rPr>
      <t>。
　　</t>
    </r>
    <r>
      <rPr>
        <sz val="12"/>
        <rFont val="Times New Roman"/>
        <family val="1"/>
      </rPr>
      <t xml:space="preserve">2. </t>
    </r>
    <r>
      <rPr>
        <sz val="12"/>
        <rFont val="標楷體"/>
        <family val="4"/>
        <charset val="136"/>
      </rPr>
      <t>老年年金給付部分案件被保險人退保當時投保單位之地區不明，故本表總計包含無法歸類縣
　　　市別之男性</t>
    </r>
    <r>
      <rPr>
        <sz val="12"/>
        <rFont val="Times New Roman"/>
        <family val="1"/>
      </rPr>
      <t>52,872</t>
    </r>
    <r>
      <rPr>
        <sz val="12"/>
        <rFont val="標楷體"/>
        <family val="4"/>
        <charset val="136"/>
      </rPr>
      <t>元；女性</t>
    </r>
    <r>
      <rPr>
        <sz val="12"/>
        <rFont val="Times New Roman"/>
        <family val="1"/>
      </rPr>
      <t>0</t>
    </r>
    <r>
      <rPr>
        <sz val="12"/>
        <rFont val="標楷體"/>
        <family val="4"/>
        <charset val="136"/>
      </rPr>
      <t>元。
　　</t>
    </r>
    <r>
      <rPr>
        <sz val="12"/>
        <rFont val="Times New Roman"/>
        <family val="1"/>
      </rPr>
      <t xml:space="preserve">3. </t>
    </r>
    <r>
      <rPr>
        <sz val="12"/>
        <rFont val="標楷體"/>
        <family val="4"/>
        <charset val="136"/>
      </rPr>
      <t>老年年金給付平均月領金額＝全年核付金額</t>
    </r>
    <r>
      <rPr>
        <sz val="12"/>
        <rFont val="Times New Roman"/>
        <family val="1"/>
      </rPr>
      <t xml:space="preserve"> ÷</t>
    </r>
    <r>
      <rPr>
        <sz val="12"/>
        <rFont val="標楷體"/>
        <family val="4"/>
        <charset val="136"/>
      </rPr>
      <t>平均核付人數÷</t>
    </r>
    <r>
      <rPr>
        <sz val="12"/>
        <rFont val="Times New Roman"/>
        <family val="1"/>
      </rPr>
      <t>12</t>
    </r>
    <r>
      <rPr>
        <sz val="12"/>
        <rFont val="標楷體"/>
        <family val="4"/>
        <charset val="136"/>
      </rPr>
      <t>。
　　</t>
    </r>
    <r>
      <rPr>
        <sz val="12"/>
        <rFont val="Times New Roman"/>
        <family val="1"/>
      </rPr>
      <t xml:space="preserve">4. </t>
    </r>
    <r>
      <rPr>
        <sz val="12"/>
        <rFont val="標楷體"/>
        <family val="4"/>
        <charset val="136"/>
      </rPr>
      <t>本表部分數字因四捨五入關係，致細項之和與總計略有出入。</t>
    </r>
    <phoneticPr fontId="14" type="noConversion"/>
  </si>
  <si>
    <r>
      <rPr>
        <sz val="12"/>
        <rFont val="標楷體"/>
        <family val="4"/>
        <charset val="136"/>
      </rPr>
      <t>註：</t>
    </r>
    <r>
      <rPr>
        <sz val="12"/>
        <rFont val="Times New Roman"/>
        <family val="1"/>
      </rPr>
      <t xml:space="preserve">1. </t>
    </r>
    <r>
      <rPr>
        <sz val="12"/>
        <rFont val="標楷體"/>
        <family val="4"/>
        <charset val="136"/>
      </rPr>
      <t>老年年金給付係指被保險人年滿</t>
    </r>
    <r>
      <rPr>
        <sz val="12"/>
        <rFont val="Times New Roman"/>
        <family val="1"/>
      </rPr>
      <t>60</t>
    </r>
    <r>
      <rPr>
        <sz val="12"/>
        <rFont val="標楷體"/>
        <family val="4"/>
        <charset val="136"/>
      </rPr>
      <t>歲，保險年資合計滿</t>
    </r>
    <r>
      <rPr>
        <sz val="12"/>
        <rFont val="Times New Roman"/>
        <family val="1"/>
      </rPr>
      <t>15</t>
    </r>
    <r>
      <rPr>
        <sz val="12"/>
        <rFont val="標楷體"/>
        <family val="4"/>
        <charset val="136"/>
      </rPr>
      <t>年，並辦理離職退保者。請領年齡
　　　自</t>
    </r>
    <r>
      <rPr>
        <sz val="12"/>
        <rFont val="Times New Roman"/>
        <family val="1"/>
      </rPr>
      <t>107</t>
    </r>
    <r>
      <rPr>
        <sz val="12"/>
        <rFont val="標楷體"/>
        <family val="4"/>
        <charset val="136"/>
      </rPr>
      <t>年提高為</t>
    </r>
    <r>
      <rPr>
        <sz val="12"/>
        <rFont val="Times New Roman"/>
        <family val="1"/>
      </rPr>
      <t>61</t>
    </r>
    <r>
      <rPr>
        <sz val="12"/>
        <rFont val="標楷體"/>
        <family val="4"/>
        <charset val="136"/>
      </rPr>
      <t>歲，</t>
    </r>
    <r>
      <rPr>
        <sz val="12"/>
        <rFont val="Times New Roman"/>
        <family val="1"/>
      </rPr>
      <t>109</t>
    </r>
    <r>
      <rPr>
        <sz val="12"/>
        <rFont val="標楷體"/>
        <family val="4"/>
        <charset val="136"/>
      </rPr>
      <t>年為</t>
    </r>
    <r>
      <rPr>
        <sz val="12"/>
        <rFont val="Times New Roman"/>
        <family val="1"/>
      </rPr>
      <t>62</t>
    </r>
    <r>
      <rPr>
        <sz val="12"/>
        <rFont val="標楷體"/>
        <family val="4"/>
        <charset val="136"/>
      </rPr>
      <t>歲，</t>
    </r>
    <r>
      <rPr>
        <sz val="12"/>
        <rFont val="Times New Roman"/>
        <family val="1"/>
      </rPr>
      <t>111</t>
    </r>
    <r>
      <rPr>
        <sz val="12"/>
        <rFont val="標楷體"/>
        <family val="4"/>
        <charset val="136"/>
      </rPr>
      <t>年為</t>
    </r>
    <r>
      <rPr>
        <sz val="12"/>
        <rFont val="Times New Roman"/>
        <family val="1"/>
      </rPr>
      <t>63</t>
    </r>
    <r>
      <rPr>
        <sz val="12"/>
        <rFont val="標楷體"/>
        <family val="4"/>
        <charset val="136"/>
      </rPr>
      <t>歲，</t>
    </r>
    <r>
      <rPr>
        <sz val="12"/>
        <rFont val="Times New Roman"/>
        <family val="1"/>
      </rPr>
      <t>113</t>
    </r>
    <r>
      <rPr>
        <sz val="12"/>
        <rFont val="標楷體"/>
        <family val="4"/>
        <charset val="136"/>
      </rPr>
      <t>年為</t>
    </r>
    <r>
      <rPr>
        <sz val="12"/>
        <rFont val="Times New Roman"/>
        <family val="1"/>
      </rPr>
      <t>64</t>
    </r>
    <r>
      <rPr>
        <sz val="12"/>
        <rFont val="標楷體"/>
        <family val="4"/>
        <charset val="136"/>
      </rPr>
      <t>歲，</t>
    </r>
    <r>
      <rPr>
        <sz val="12"/>
        <rFont val="Times New Roman"/>
        <family val="1"/>
      </rPr>
      <t>115</t>
    </r>
    <r>
      <rPr>
        <sz val="12"/>
        <rFont val="標楷體"/>
        <family val="4"/>
        <charset val="136"/>
      </rPr>
      <t>年以後為</t>
    </r>
    <r>
      <rPr>
        <sz val="12"/>
        <rFont val="Times New Roman"/>
        <family val="1"/>
      </rPr>
      <t>65</t>
    </r>
    <r>
      <rPr>
        <sz val="12"/>
        <rFont val="標楷體"/>
        <family val="4"/>
        <charset val="136"/>
      </rPr>
      <t>歲。依下列</t>
    </r>
    <r>
      <rPr>
        <sz val="12"/>
        <rFont val="Times New Roman"/>
        <family val="1"/>
      </rPr>
      <t xml:space="preserve">
</t>
    </r>
    <r>
      <rPr>
        <sz val="12"/>
        <rFont val="標楷體"/>
        <family val="4"/>
        <charset val="136"/>
      </rPr>
      <t>　　　</t>
    </r>
    <r>
      <rPr>
        <sz val="12"/>
        <rFont val="Times New Roman"/>
        <family val="1"/>
      </rPr>
      <t>2</t>
    </r>
    <r>
      <rPr>
        <sz val="12"/>
        <rFont val="標楷體"/>
        <family val="4"/>
        <charset val="136"/>
      </rPr>
      <t>種方式擇優發給：</t>
    </r>
    <r>
      <rPr>
        <sz val="12"/>
        <rFont val="Times New Roman"/>
        <family val="1"/>
      </rPr>
      <t>(1)</t>
    </r>
    <r>
      <rPr>
        <sz val="12"/>
        <rFont val="標楷體"/>
        <family val="4"/>
        <charset val="136"/>
      </rPr>
      <t>平均月投保薪資×年資</t>
    </r>
    <r>
      <rPr>
        <sz val="12"/>
        <rFont val="Times New Roman"/>
        <family val="1"/>
      </rPr>
      <t>×0.775%+3,000</t>
    </r>
    <r>
      <rPr>
        <sz val="12"/>
        <rFont val="標楷體"/>
        <family val="4"/>
        <charset val="136"/>
      </rPr>
      <t>元；</t>
    </r>
    <r>
      <rPr>
        <sz val="12"/>
        <rFont val="Times New Roman"/>
        <family val="1"/>
      </rPr>
      <t>(2)</t>
    </r>
    <r>
      <rPr>
        <sz val="12"/>
        <rFont val="標楷體"/>
        <family val="4"/>
        <charset val="136"/>
      </rPr>
      <t>平均月投保薪資</t>
    </r>
    <r>
      <rPr>
        <sz val="12"/>
        <rFont val="Times New Roman"/>
        <family val="1"/>
      </rPr>
      <t>×</t>
    </r>
    <r>
      <rPr>
        <sz val="12"/>
        <rFont val="標楷體"/>
        <family val="4"/>
        <charset val="136"/>
      </rPr>
      <t>年資</t>
    </r>
    <r>
      <rPr>
        <sz val="12"/>
        <rFont val="Times New Roman"/>
        <family val="1"/>
      </rPr>
      <t>×</t>
    </r>
    <r>
      <rPr>
        <sz val="12"/>
        <rFont val="標楷體"/>
        <family val="4"/>
        <charset val="136"/>
      </rPr>
      <t xml:space="preserve">
　　　</t>
    </r>
    <r>
      <rPr>
        <sz val="12"/>
        <rFont val="Times New Roman"/>
        <family val="1"/>
      </rPr>
      <t>1.55%</t>
    </r>
    <r>
      <rPr>
        <sz val="12"/>
        <rFont val="標楷體"/>
        <family val="4"/>
        <charset val="136"/>
      </rPr>
      <t>；平均月投保薪資按加保期間最高</t>
    </r>
    <r>
      <rPr>
        <sz val="12"/>
        <rFont val="Times New Roman"/>
        <family val="1"/>
      </rPr>
      <t>60</t>
    </r>
    <r>
      <rPr>
        <sz val="12"/>
        <rFont val="標楷體"/>
        <family val="4"/>
        <charset val="136"/>
      </rPr>
      <t>個月之月投保薪資平均計算。未達請領年齡而提前
　　　請領者，每提前</t>
    </r>
    <r>
      <rPr>
        <sz val="12"/>
        <rFont val="Times New Roman"/>
        <family val="1"/>
      </rPr>
      <t>1</t>
    </r>
    <r>
      <rPr>
        <sz val="12"/>
        <rFont val="標楷體"/>
        <family val="4"/>
        <charset val="136"/>
      </rPr>
      <t>年按給付金額減給</t>
    </r>
    <r>
      <rPr>
        <sz val="12"/>
        <rFont val="Times New Roman"/>
        <family val="1"/>
      </rPr>
      <t>4%</t>
    </r>
    <r>
      <rPr>
        <sz val="12"/>
        <rFont val="標楷體"/>
        <family val="4"/>
        <charset val="136"/>
      </rPr>
      <t>，最多提前</t>
    </r>
    <r>
      <rPr>
        <sz val="12"/>
        <rFont val="Times New Roman"/>
        <family val="1"/>
      </rPr>
      <t>5</t>
    </r>
    <r>
      <rPr>
        <sz val="12"/>
        <rFont val="標楷體"/>
        <family val="4"/>
        <charset val="136"/>
      </rPr>
      <t>年減給</t>
    </r>
    <r>
      <rPr>
        <sz val="12"/>
        <rFont val="Times New Roman"/>
        <family val="1"/>
      </rPr>
      <t>20%</t>
    </r>
    <r>
      <rPr>
        <sz val="12"/>
        <rFont val="標楷體"/>
        <family val="4"/>
        <charset val="136"/>
      </rPr>
      <t>；符合老年年金給付請領年齡
　　　而延後請領者，每延後</t>
    </r>
    <r>
      <rPr>
        <sz val="12"/>
        <rFont val="Times New Roman"/>
        <family val="1"/>
      </rPr>
      <t>1</t>
    </r>
    <r>
      <rPr>
        <sz val="12"/>
        <rFont val="標楷體"/>
        <family val="4"/>
        <charset val="136"/>
      </rPr>
      <t>年按給付金額增給</t>
    </r>
    <r>
      <rPr>
        <sz val="12"/>
        <rFont val="Times New Roman"/>
        <family val="1"/>
      </rPr>
      <t>4%</t>
    </r>
    <r>
      <rPr>
        <sz val="12"/>
        <rFont val="標楷體"/>
        <family val="4"/>
        <charset val="136"/>
      </rPr>
      <t>，最多增給</t>
    </r>
    <r>
      <rPr>
        <sz val="12"/>
        <rFont val="Times New Roman"/>
        <family val="1"/>
      </rPr>
      <t>20%</t>
    </r>
    <r>
      <rPr>
        <sz val="12"/>
        <rFont val="標楷體"/>
        <family val="4"/>
        <charset val="136"/>
      </rPr>
      <t>。
　　</t>
    </r>
    <r>
      <rPr>
        <sz val="12"/>
        <rFont val="Times New Roman"/>
        <family val="1"/>
      </rPr>
      <t xml:space="preserve">2. </t>
    </r>
    <r>
      <rPr>
        <sz val="12"/>
        <rFont val="標楷體"/>
        <family val="4"/>
        <charset val="136"/>
      </rPr>
      <t>老年年金給付部分案件被保險人退保當時投保單位之地區不明，故本表總計包含無法歸類縣
　　　市別之男性</t>
    </r>
    <r>
      <rPr>
        <sz val="12"/>
        <rFont val="Times New Roman"/>
        <family val="1"/>
      </rPr>
      <t>52,872</t>
    </r>
    <r>
      <rPr>
        <sz val="12"/>
        <rFont val="標楷體"/>
        <family val="4"/>
        <charset val="136"/>
      </rPr>
      <t>元；女性</t>
    </r>
    <r>
      <rPr>
        <sz val="12"/>
        <rFont val="Times New Roman"/>
        <family val="1"/>
      </rPr>
      <t>0</t>
    </r>
    <r>
      <rPr>
        <sz val="12"/>
        <rFont val="標楷體"/>
        <family val="4"/>
        <charset val="136"/>
      </rPr>
      <t>元。
　　</t>
    </r>
    <r>
      <rPr>
        <sz val="12"/>
        <rFont val="Times New Roman"/>
        <family val="1"/>
      </rPr>
      <t xml:space="preserve">3. </t>
    </r>
    <r>
      <rPr>
        <sz val="12"/>
        <rFont val="標楷體"/>
        <family val="4"/>
        <charset val="136"/>
      </rPr>
      <t>老年年金給付平均月領金額＝全年核付金額</t>
    </r>
    <r>
      <rPr>
        <sz val="12"/>
        <rFont val="Times New Roman"/>
        <family val="1"/>
      </rPr>
      <t xml:space="preserve"> </t>
    </r>
    <r>
      <rPr>
        <sz val="12"/>
        <rFont val="標楷體"/>
        <family val="4"/>
        <charset val="136"/>
      </rPr>
      <t>÷平均核付人數÷</t>
    </r>
    <r>
      <rPr>
        <sz val="12"/>
        <rFont val="Times New Roman"/>
        <family val="1"/>
      </rPr>
      <t>12</t>
    </r>
    <r>
      <rPr>
        <sz val="12"/>
        <rFont val="標楷體"/>
        <family val="4"/>
        <charset val="136"/>
      </rPr>
      <t>。
　　</t>
    </r>
    <r>
      <rPr>
        <sz val="12"/>
        <rFont val="Times New Roman"/>
        <family val="1"/>
      </rPr>
      <t xml:space="preserve">4. </t>
    </r>
    <r>
      <rPr>
        <sz val="12"/>
        <rFont val="標楷體"/>
        <family val="4"/>
        <charset val="136"/>
      </rPr>
      <t>配合桃園縣改制為直轄市，自</t>
    </r>
    <r>
      <rPr>
        <sz val="12"/>
        <rFont val="Times New Roman"/>
        <family val="1"/>
      </rPr>
      <t>104</t>
    </r>
    <r>
      <rPr>
        <sz val="12"/>
        <rFont val="標楷體"/>
        <family val="4"/>
        <charset val="136"/>
      </rPr>
      <t>年起統計資料依改制後縣市別編製。
　　</t>
    </r>
    <r>
      <rPr>
        <sz val="12"/>
        <rFont val="Times New Roman"/>
        <family val="1"/>
      </rPr>
      <t xml:space="preserve">5. </t>
    </r>
    <r>
      <rPr>
        <sz val="12"/>
        <rFont val="標楷體"/>
        <family val="4"/>
        <charset val="136"/>
      </rPr>
      <t>本表部分數字因四捨五入關係，致細項之和與總計略有出入。</t>
    </r>
    <phoneticPr fontId="14" type="noConversion"/>
  </si>
  <si>
    <r>
      <rPr>
        <sz val="12"/>
        <rFont val="標楷體"/>
        <family val="4"/>
        <charset val="136"/>
      </rPr>
      <t>註：</t>
    </r>
    <r>
      <rPr>
        <sz val="12"/>
        <rFont val="Times New Roman"/>
        <family val="1"/>
      </rPr>
      <t xml:space="preserve">1. </t>
    </r>
    <r>
      <rPr>
        <sz val="12"/>
        <rFont val="標楷體"/>
        <family val="4"/>
        <charset val="136"/>
      </rPr>
      <t>老年年金給付係指被保險人年滿</t>
    </r>
    <r>
      <rPr>
        <sz val="12"/>
        <rFont val="Times New Roman"/>
        <family val="1"/>
      </rPr>
      <t>60</t>
    </r>
    <r>
      <rPr>
        <sz val="12"/>
        <rFont val="標楷體"/>
        <family val="4"/>
        <charset val="136"/>
      </rPr>
      <t>歲，保險年資合計滿</t>
    </r>
    <r>
      <rPr>
        <sz val="12"/>
        <rFont val="Times New Roman"/>
        <family val="1"/>
      </rPr>
      <t>15</t>
    </r>
    <r>
      <rPr>
        <sz val="12"/>
        <rFont val="標楷體"/>
        <family val="4"/>
        <charset val="136"/>
      </rPr>
      <t>年，並辦理離職退保者。請領年齡
　　　自</t>
    </r>
    <r>
      <rPr>
        <sz val="12"/>
        <rFont val="Times New Roman"/>
        <family val="1"/>
      </rPr>
      <t>107</t>
    </r>
    <r>
      <rPr>
        <sz val="12"/>
        <rFont val="標楷體"/>
        <family val="4"/>
        <charset val="136"/>
      </rPr>
      <t>年提高為</t>
    </r>
    <r>
      <rPr>
        <sz val="12"/>
        <rFont val="Times New Roman"/>
        <family val="1"/>
      </rPr>
      <t>61</t>
    </r>
    <r>
      <rPr>
        <sz val="12"/>
        <rFont val="標楷體"/>
        <family val="4"/>
        <charset val="136"/>
      </rPr>
      <t>歲，</t>
    </r>
    <r>
      <rPr>
        <sz val="12"/>
        <rFont val="Times New Roman"/>
        <family val="1"/>
      </rPr>
      <t>109</t>
    </r>
    <r>
      <rPr>
        <sz val="12"/>
        <rFont val="標楷體"/>
        <family val="4"/>
        <charset val="136"/>
      </rPr>
      <t>年為</t>
    </r>
    <r>
      <rPr>
        <sz val="12"/>
        <rFont val="Times New Roman"/>
        <family val="1"/>
      </rPr>
      <t>62</t>
    </r>
    <r>
      <rPr>
        <sz val="12"/>
        <rFont val="標楷體"/>
        <family val="4"/>
        <charset val="136"/>
      </rPr>
      <t>歲，</t>
    </r>
    <r>
      <rPr>
        <sz val="12"/>
        <rFont val="Times New Roman"/>
        <family val="1"/>
      </rPr>
      <t>111</t>
    </r>
    <r>
      <rPr>
        <sz val="12"/>
        <rFont val="標楷體"/>
        <family val="4"/>
        <charset val="136"/>
      </rPr>
      <t>年為</t>
    </r>
    <r>
      <rPr>
        <sz val="12"/>
        <rFont val="Times New Roman"/>
        <family val="1"/>
      </rPr>
      <t>63</t>
    </r>
    <r>
      <rPr>
        <sz val="12"/>
        <rFont val="標楷體"/>
        <family val="4"/>
        <charset val="136"/>
      </rPr>
      <t>歲，</t>
    </r>
    <r>
      <rPr>
        <sz val="12"/>
        <rFont val="Times New Roman"/>
        <family val="1"/>
      </rPr>
      <t>113</t>
    </r>
    <r>
      <rPr>
        <sz val="12"/>
        <rFont val="標楷體"/>
        <family val="4"/>
        <charset val="136"/>
      </rPr>
      <t>年為</t>
    </r>
    <r>
      <rPr>
        <sz val="12"/>
        <rFont val="Times New Roman"/>
        <family val="1"/>
      </rPr>
      <t>64</t>
    </r>
    <r>
      <rPr>
        <sz val="12"/>
        <rFont val="標楷體"/>
        <family val="4"/>
        <charset val="136"/>
      </rPr>
      <t>歲，</t>
    </r>
    <r>
      <rPr>
        <sz val="12"/>
        <rFont val="Times New Roman"/>
        <family val="1"/>
      </rPr>
      <t>115</t>
    </r>
    <r>
      <rPr>
        <sz val="12"/>
        <rFont val="標楷體"/>
        <family val="4"/>
        <charset val="136"/>
      </rPr>
      <t>年以後為</t>
    </r>
    <r>
      <rPr>
        <sz val="12"/>
        <rFont val="Times New Roman"/>
        <family val="1"/>
      </rPr>
      <t>65</t>
    </r>
    <r>
      <rPr>
        <sz val="12"/>
        <rFont val="標楷體"/>
        <family val="4"/>
        <charset val="136"/>
      </rPr>
      <t>歲。依下列
　　　</t>
    </r>
    <r>
      <rPr>
        <sz val="12"/>
        <rFont val="Times New Roman"/>
        <family val="1"/>
      </rPr>
      <t>2</t>
    </r>
    <r>
      <rPr>
        <sz val="12"/>
        <rFont val="標楷體"/>
        <family val="4"/>
        <charset val="136"/>
      </rPr>
      <t>種方式擇優發給：</t>
    </r>
    <r>
      <rPr>
        <sz val="12"/>
        <rFont val="Times New Roman"/>
        <family val="1"/>
      </rPr>
      <t>(1)</t>
    </r>
    <r>
      <rPr>
        <sz val="12"/>
        <rFont val="標楷體"/>
        <family val="4"/>
        <charset val="136"/>
      </rPr>
      <t>平均月投保薪資×年資×</t>
    </r>
    <r>
      <rPr>
        <sz val="12"/>
        <rFont val="Times New Roman"/>
        <family val="1"/>
      </rPr>
      <t>0.775%+3,000</t>
    </r>
    <r>
      <rPr>
        <sz val="12"/>
        <rFont val="標楷體"/>
        <family val="4"/>
        <charset val="136"/>
      </rPr>
      <t>元；</t>
    </r>
    <r>
      <rPr>
        <sz val="12"/>
        <rFont val="Times New Roman"/>
        <family val="1"/>
      </rPr>
      <t>(2)</t>
    </r>
    <r>
      <rPr>
        <sz val="12"/>
        <rFont val="標楷體"/>
        <family val="4"/>
        <charset val="136"/>
      </rPr>
      <t>平均月投保薪資×年資×
　　　</t>
    </r>
    <r>
      <rPr>
        <sz val="12"/>
        <rFont val="Times New Roman"/>
        <family val="1"/>
      </rPr>
      <t>1.55%</t>
    </r>
    <r>
      <rPr>
        <sz val="12"/>
        <rFont val="標楷體"/>
        <family val="4"/>
        <charset val="136"/>
      </rPr>
      <t>；平均月投保薪資按加保期間最高</t>
    </r>
    <r>
      <rPr>
        <sz val="12"/>
        <rFont val="Times New Roman"/>
        <family val="1"/>
      </rPr>
      <t>60</t>
    </r>
    <r>
      <rPr>
        <sz val="12"/>
        <rFont val="標楷體"/>
        <family val="4"/>
        <charset val="136"/>
      </rPr>
      <t>個月之月投保薪資平均計算。未達請領年齡而提前
　　　請領者，每提前</t>
    </r>
    <r>
      <rPr>
        <sz val="12"/>
        <rFont val="Times New Roman"/>
        <family val="1"/>
      </rPr>
      <t>1</t>
    </r>
    <r>
      <rPr>
        <sz val="12"/>
        <rFont val="標楷體"/>
        <family val="4"/>
        <charset val="136"/>
      </rPr>
      <t>年按給付金額減給</t>
    </r>
    <r>
      <rPr>
        <sz val="12"/>
        <rFont val="Times New Roman"/>
        <family val="1"/>
      </rPr>
      <t>4%</t>
    </r>
    <r>
      <rPr>
        <sz val="12"/>
        <rFont val="標楷體"/>
        <family val="4"/>
        <charset val="136"/>
      </rPr>
      <t>，最多提前</t>
    </r>
    <r>
      <rPr>
        <sz val="12"/>
        <rFont val="Times New Roman"/>
        <family val="1"/>
      </rPr>
      <t>5</t>
    </r>
    <r>
      <rPr>
        <sz val="12"/>
        <rFont val="標楷體"/>
        <family val="4"/>
        <charset val="136"/>
      </rPr>
      <t>年減給</t>
    </r>
    <r>
      <rPr>
        <sz val="12"/>
        <rFont val="Times New Roman"/>
        <family val="1"/>
      </rPr>
      <t>20%</t>
    </r>
    <r>
      <rPr>
        <sz val="12"/>
        <rFont val="標楷體"/>
        <family val="4"/>
        <charset val="136"/>
      </rPr>
      <t>；符合老年年金給付請領年齡
　　　而延後請領者，每延後</t>
    </r>
    <r>
      <rPr>
        <sz val="12"/>
        <rFont val="Times New Roman"/>
        <family val="1"/>
      </rPr>
      <t>1</t>
    </r>
    <r>
      <rPr>
        <sz val="12"/>
        <rFont val="標楷體"/>
        <family val="4"/>
        <charset val="136"/>
      </rPr>
      <t>年按給付金額增給</t>
    </r>
    <r>
      <rPr>
        <sz val="12"/>
        <rFont val="Times New Roman"/>
        <family val="1"/>
      </rPr>
      <t>4%</t>
    </r>
    <r>
      <rPr>
        <sz val="12"/>
        <rFont val="標楷體"/>
        <family val="4"/>
        <charset val="136"/>
      </rPr>
      <t>，最多增給</t>
    </r>
    <r>
      <rPr>
        <sz val="12"/>
        <rFont val="Times New Roman"/>
        <family val="1"/>
      </rPr>
      <t>20%</t>
    </r>
    <r>
      <rPr>
        <sz val="12"/>
        <rFont val="標楷體"/>
        <family val="4"/>
        <charset val="136"/>
      </rPr>
      <t>。
　　</t>
    </r>
    <r>
      <rPr>
        <sz val="12"/>
        <rFont val="Times New Roman"/>
        <family val="1"/>
      </rPr>
      <t xml:space="preserve">2. </t>
    </r>
    <r>
      <rPr>
        <sz val="12"/>
        <rFont val="標楷體"/>
        <family val="4"/>
        <charset val="136"/>
      </rPr>
      <t>老年年金給付部分案件被保險人退保當時投保單位之地區不明，故本表總計包含無法歸類縣
　　　市別之男性</t>
    </r>
    <r>
      <rPr>
        <sz val="12"/>
        <rFont val="Times New Roman"/>
        <family val="1"/>
      </rPr>
      <t>51,782</t>
    </r>
    <r>
      <rPr>
        <sz val="12"/>
        <rFont val="標楷體"/>
        <family val="4"/>
        <charset val="136"/>
      </rPr>
      <t>元；女性</t>
    </r>
    <r>
      <rPr>
        <sz val="12"/>
        <rFont val="Times New Roman"/>
        <family val="1"/>
      </rPr>
      <t>0</t>
    </r>
    <r>
      <rPr>
        <sz val="12"/>
        <rFont val="標楷體"/>
        <family val="4"/>
        <charset val="136"/>
      </rPr>
      <t>元。
　　</t>
    </r>
    <r>
      <rPr>
        <sz val="12"/>
        <rFont val="Times New Roman"/>
        <family val="1"/>
      </rPr>
      <t xml:space="preserve">3. </t>
    </r>
    <r>
      <rPr>
        <sz val="12"/>
        <rFont val="標楷體"/>
        <family val="4"/>
        <charset val="136"/>
      </rPr>
      <t>老年年金給付平均月領金額＝全年核付金額</t>
    </r>
    <r>
      <rPr>
        <sz val="12"/>
        <rFont val="Times New Roman"/>
        <family val="1"/>
      </rPr>
      <t xml:space="preserve"> </t>
    </r>
    <r>
      <rPr>
        <sz val="12"/>
        <rFont val="標楷體"/>
        <family val="4"/>
        <charset val="136"/>
      </rPr>
      <t>÷平均核付人數÷</t>
    </r>
    <r>
      <rPr>
        <sz val="12"/>
        <rFont val="Times New Roman"/>
        <family val="1"/>
      </rPr>
      <t>12</t>
    </r>
    <r>
      <rPr>
        <sz val="12"/>
        <rFont val="標楷體"/>
        <family val="4"/>
        <charset val="136"/>
      </rPr>
      <t>。
　　</t>
    </r>
    <r>
      <rPr>
        <sz val="12"/>
        <rFont val="Times New Roman"/>
        <family val="1"/>
      </rPr>
      <t xml:space="preserve">4. </t>
    </r>
    <r>
      <rPr>
        <sz val="12"/>
        <rFont val="標楷體"/>
        <family val="4"/>
        <charset val="136"/>
      </rPr>
      <t>本表部分數字因四捨五入關係，致細項之和與總計略有出入。</t>
    </r>
    <phoneticPr fontId="14" type="noConversion"/>
  </si>
  <si>
    <r>
      <rPr>
        <sz val="12"/>
        <rFont val="標楷體"/>
        <family val="4"/>
        <charset val="136"/>
      </rPr>
      <t>註：</t>
    </r>
    <r>
      <rPr>
        <sz val="12"/>
        <rFont val="Times New Roman"/>
        <family val="1"/>
      </rPr>
      <t xml:space="preserve">1. </t>
    </r>
    <r>
      <rPr>
        <sz val="12"/>
        <rFont val="標楷體"/>
        <family val="4"/>
        <charset val="136"/>
      </rPr>
      <t>老年年金給付係指被保險人年滿</t>
    </r>
    <r>
      <rPr>
        <sz val="12"/>
        <rFont val="Times New Roman"/>
        <family val="1"/>
      </rPr>
      <t>60</t>
    </r>
    <r>
      <rPr>
        <sz val="12"/>
        <rFont val="標楷體"/>
        <family val="4"/>
        <charset val="136"/>
      </rPr>
      <t>歲，保險年資合計滿</t>
    </r>
    <r>
      <rPr>
        <sz val="12"/>
        <rFont val="Times New Roman"/>
        <family val="1"/>
      </rPr>
      <t>15</t>
    </r>
    <r>
      <rPr>
        <sz val="12"/>
        <rFont val="標楷體"/>
        <family val="4"/>
        <charset val="136"/>
      </rPr>
      <t>年，並辦理離職退保者。請領年齡
　　　自</t>
    </r>
    <r>
      <rPr>
        <sz val="12"/>
        <rFont val="Times New Roman"/>
        <family val="1"/>
      </rPr>
      <t>107</t>
    </r>
    <r>
      <rPr>
        <sz val="12"/>
        <rFont val="標楷體"/>
        <family val="4"/>
        <charset val="136"/>
      </rPr>
      <t>年提高為</t>
    </r>
    <r>
      <rPr>
        <sz val="12"/>
        <rFont val="Times New Roman"/>
        <family val="1"/>
      </rPr>
      <t>61</t>
    </r>
    <r>
      <rPr>
        <sz val="12"/>
        <rFont val="標楷體"/>
        <family val="4"/>
        <charset val="136"/>
      </rPr>
      <t>歲，</t>
    </r>
    <r>
      <rPr>
        <sz val="12"/>
        <rFont val="Times New Roman"/>
        <family val="1"/>
      </rPr>
      <t>109</t>
    </r>
    <r>
      <rPr>
        <sz val="12"/>
        <rFont val="標楷體"/>
        <family val="4"/>
        <charset val="136"/>
      </rPr>
      <t>年為</t>
    </r>
    <r>
      <rPr>
        <sz val="12"/>
        <rFont val="Times New Roman"/>
        <family val="1"/>
      </rPr>
      <t>62</t>
    </r>
    <r>
      <rPr>
        <sz val="12"/>
        <rFont val="標楷體"/>
        <family val="4"/>
        <charset val="136"/>
      </rPr>
      <t>歲，</t>
    </r>
    <r>
      <rPr>
        <sz val="12"/>
        <rFont val="Times New Roman"/>
        <family val="1"/>
      </rPr>
      <t>111</t>
    </r>
    <r>
      <rPr>
        <sz val="12"/>
        <rFont val="標楷體"/>
        <family val="4"/>
        <charset val="136"/>
      </rPr>
      <t>年為</t>
    </r>
    <r>
      <rPr>
        <sz val="12"/>
        <rFont val="Times New Roman"/>
        <family val="1"/>
      </rPr>
      <t>63</t>
    </r>
    <r>
      <rPr>
        <sz val="12"/>
        <rFont val="標楷體"/>
        <family val="4"/>
        <charset val="136"/>
      </rPr>
      <t>歲，</t>
    </r>
    <r>
      <rPr>
        <sz val="12"/>
        <rFont val="Times New Roman"/>
        <family val="1"/>
      </rPr>
      <t>113</t>
    </r>
    <r>
      <rPr>
        <sz val="12"/>
        <rFont val="標楷體"/>
        <family val="4"/>
        <charset val="136"/>
      </rPr>
      <t>年為</t>
    </r>
    <r>
      <rPr>
        <sz val="12"/>
        <rFont val="Times New Roman"/>
        <family val="1"/>
      </rPr>
      <t>64</t>
    </r>
    <r>
      <rPr>
        <sz val="12"/>
        <rFont val="標楷體"/>
        <family val="4"/>
        <charset val="136"/>
      </rPr>
      <t>歲，</t>
    </r>
    <r>
      <rPr>
        <sz val="12"/>
        <rFont val="Times New Roman"/>
        <family val="1"/>
      </rPr>
      <t>115</t>
    </r>
    <r>
      <rPr>
        <sz val="12"/>
        <rFont val="標楷體"/>
        <family val="4"/>
        <charset val="136"/>
      </rPr>
      <t>年以後為</t>
    </r>
    <r>
      <rPr>
        <sz val="12"/>
        <rFont val="Times New Roman"/>
        <family val="1"/>
      </rPr>
      <t>65</t>
    </r>
    <r>
      <rPr>
        <sz val="12"/>
        <rFont val="標楷體"/>
        <family val="4"/>
        <charset val="136"/>
      </rPr>
      <t>歲。依下列
　　　</t>
    </r>
    <r>
      <rPr>
        <sz val="12"/>
        <rFont val="Times New Roman"/>
        <family val="1"/>
      </rPr>
      <t>2</t>
    </r>
    <r>
      <rPr>
        <sz val="12"/>
        <rFont val="標楷體"/>
        <family val="4"/>
        <charset val="136"/>
      </rPr>
      <t>種方式擇優發給：</t>
    </r>
    <r>
      <rPr>
        <sz val="12"/>
        <rFont val="Times New Roman"/>
        <family val="1"/>
      </rPr>
      <t>(1)</t>
    </r>
    <r>
      <rPr>
        <sz val="12"/>
        <rFont val="標楷體"/>
        <family val="4"/>
        <charset val="136"/>
      </rPr>
      <t>平均月投保薪資×年資×</t>
    </r>
    <r>
      <rPr>
        <sz val="12"/>
        <rFont val="Times New Roman"/>
        <family val="1"/>
      </rPr>
      <t>0.775%+3,000</t>
    </r>
    <r>
      <rPr>
        <sz val="12"/>
        <rFont val="標楷體"/>
        <family val="4"/>
        <charset val="136"/>
      </rPr>
      <t>元；</t>
    </r>
    <r>
      <rPr>
        <sz val="12"/>
        <rFont val="Times New Roman"/>
        <family val="1"/>
      </rPr>
      <t>(2)</t>
    </r>
    <r>
      <rPr>
        <sz val="12"/>
        <rFont val="標楷體"/>
        <family val="4"/>
        <charset val="136"/>
      </rPr>
      <t>平均月投保薪資×年資×
　　　</t>
    </r>
    <r>
      <rPr>
        <sz val="12"/>
        <rFont val="Times New Roman"/>
        <family val="1"/>
      </rPr>
      <t>1.55%</t>
    </r>
    <r>
      <rPr>
        <sz val="12"/>
        <rFont val="標楷體"/>
        <family val="4"/>
        <charset val="136"/>
      </rPr>
      <t>；平均月投保薪資按加保期間最高</t>
    </r>
    <r>
      <rPr>
        <sz val="12"/>
        <rFont val="Times New Roman"/>
        <family val="1"/>
      </rPr>
      <t>60</t>
    </r>
    <r>
      <rPr>
        <sz val="12"/>
        <rFont val="標楷體"/>
        <family val="4"/>
        <charset val="136"/>
      </rPr>
      <t>個月之月投保薪資平均計算。未達請領年齡而提前
　　　請領者，每提前</t>
    </r>
    <r>
      <rPr>
        <sz val="12"/>
        <rFont val="Times New Roman"/>
        <family val="1"/>
      </rPr>
      <t>1</t>
    </r>
    <r>
      <rPr>
        <sz val="12"/>
        <rFont val="標楷體"/>
        <family val="4"/>
        <charset val="136"/>
      </rPr>
      <t>年按給付金額減給</t>
    </r>
    <r>
      <rPr>
        <sz val="12"/>
        <rFont val="Times New Roman"/>
        <family val="1"/>
      </rPr>
      <t>4%</t>
    </r>
    <r>
      <rPr>
        <sz val="12"/>
        <rFont val="標楷體"/>
        <family val="4"/>
        <charset val="136"/>
      </rPr>
      <t>，最多提前</t>
    </r>
    <r>
      <rPr>
        <sz val="12"/>
        <rFont val="Times New Roman"/>
        <family val="1"/>
      </rPr>
      <t>5</t>
    </r>
    <r>
      <rPr>
        <sz val="12"/>
        <rFont val="標楷體"/>
        <family val="4"/>
        <charset val="136"/>
      </rPr>
      <t>年減給</t>
    </r>
    <r>
      <rPr>
        <sz val="12"/>
        <rFont val="Times New Roman"/>
        <family val="1"/>
      </rPr>
      <t>20%</t>
    </r>
    <r>
      <rPr>
        <sz val="12"/>
        <rFont val="標楷體"/>
        <family val="4"/>
        <charset val="136"/>
      </rPr>
      <t>；符合老年年金給付請領年齡
　　　而延後請領者，每延後</t>
    </r>
    <r>
      <rPr>
        <sz val="12"/>
        <rFont val="Times New Roman"/>
        <family val="1"/>
      </rPr>
      <t>1</t>
    </r>
    <r>
      <rPr>
        <sz val="12"/>
        <rFont val="標楷體"/>
        <family val="4"/>
        <charset val="136"/>
      </rPr>
      <t>年按給付金額增給</t>
    </r>
    <r>
      <rPr>
        <sz val="12"/>
        <rFont val="Times New Roman"/>
        <family val="1"/>
      </rPr>
      <t>4%</t>
    </r>
    <r>
      <rPr>
        <sz val="12"/>
        <rFont val="標楷體"/>
        <family val="4"/>
        <charset val="136"/>
      </rPr>
      <t>，最多增給</t>
    </r>
    <r>
      <rPr>
        <sz val="12"/>
        <rFont val="Times New Roman"/>
        <family val="1"/>
      </rPr>
      <t>20%</t>
    </r>
    <r>
      <rPr>
        <sz val="12"/>
        <rFont val="標楷體"/>
        <family val="4"/>
        <charset val="136"/>
      </rPr>
      <t>。
　　</t>
    </r>
    <r>
      <rPr>
        <sz val="12"/>
        <rFont val="Times New Roman"/>
        <family val="1"/>
      </rPr>
      <t xml:space="preserve">2. </t>
    </r>
    <r>
      <rPr>
        <sz val="12"/>
        <rFont val="標楷體"/>
        <family val="4"/>
        <charset val="136"/>
      </rPr>
      <t>老年年金給付部分案件被保險人退保當時投保單位之地區不明，故本表總計包含無法歸類縣
　　　市別之男性</t>
    </r>
    <r>
      <rPr>
        <sz val="12"/>
        <rFont val="Times New Roman"/>
        <family val="1"/>
      </rPr>
      <t>50,256</t>
    </r>
    <r>
      <rPr>
        <sz val="12"/>
        <rFont val="標楷體"/>
        <family val="4"/>
        <charset val="136"/>
      </rPr>
      <t>元；女性</t>
    </r>
    <r>
      <rPr>
        <sz val="12"/>
        <rFont val="Times New Roman"/>
        <family val="1"/>
      </rPr>
      <t>0</t>
    </r>
    <r>
      <rPr>
        <sz val="12"/>
        <rFont val="標楷體"/>
        <family val="4"/>
        <charset val="136"/>
      </rPr>
      <t>元。
　　</t>
    </r>
    <r>
      <rPr>
        <sz val="12"/>
        <rFont val="Times New Roman"/>
        <family val="1"/>
      </rPr>
      <t xml:space="preserve">3. </t>
    </r>
    <r>
      <rPr>
        <sz val="12"/>
        <rFont val="標楷體"/>
        <family val="4"/>
        <charset val="136"/>
      </rPr>
      <t>老年年金給付平均月領金額＝全年核付金額</t>
    </r>
    <r>
      <rPr>
        <sz val="12"/>
        <rFont val="Times New Roman"/>
        <family val="1"/>
      </rPr>
      <t xml:space="preserve"> </t>
    </r>
    <r>
      <rPr>
        <sz val="12"/>
        <rFont val="標楷體"/>
        <family val="4"/>
        <charset val="136"/>
      </rPr>
      <t>÷平均核付人數÷</t>
    </r>
    <r>
      <rPr>
        <sz val="12"/>
        <rFont val="Times New Roman"/>
        <family val="1"/>
      </rPr>
      <t>12</t>
    </r>
    <r>
      <rPr>
        <sz val="12"/>
        <rFont val="標楷體"/>
        <family val="4"/>
        <charset val="136"/>
      </rPr>
      <t>。
　　</t>
    </r>
    <r>
      <rPr>
        <sz val="12"/>
        <rFont val="Times New Roman"/>
        <family val="1"/>
      </rPr>
      <t xml:space="preserve">4. </t>
    </r>
    <r>
      <rPr>
        <sz val="12"/>
        <rFont val="標楷體"/>
        <family val="4"/>
        <charset val="136"/>
      </rPr>
      <t>本表部分數字因四捨五入關係，致細項之和與總計略有出入。</t>
    </r>
    <phoneticPr fontId="14" type="noConversion"/>
  </si>
  <si>
    <r>
      <rPr>
        <sz val="12"/>
        <rFont val="標楷體"/>
        <family val="4"/>
        <charset val="136"/>
      </rPr>
      <t>註：</t>
    </r>
    <r>
      <rPr>
        <sz val="12"/>
        <rFont val="Times New Roman"/>
        <family val="1"/>
      </rPr>
      <t xml:space="preserve">1. </t>
    </r>
    <r>
      <rPr>
        <sz val="12"/>
        <rFont val="標楷體"/>
        <family val="4"/>
        <charset val="136"/>
      </rPr>
      <t>老年年金給付係指被保險人年滿</t>
    </r>
    <r>
      <rPr>
        <sz val="12"/>
        <rFont val="Times New Roman"/>
        <family val="1"/>
      </rPr>
      <t>60</t>
    </r>
    <r>
      <rPr>
        <sz val="12"/>
        <rFont val="標楷體"/>
        <family val="4"/>
        <charset val="136"/>
      </rPr>
      <t>歲，保險年資合計滿</t>
    </r>
    <r>
      <rPr>
        <sz val="12"/>
        <rFont val="Times New Roman"/>
        <family val="1"/>
      </rPr>
      <t>15</t>
    </r>
    <r>
      <rPr>
        <sz val="12"/>
        <rFont val="標楷體"/>
        <family val="4"/>
        <charset val="136"/>
      </rPr>
      <t>年，並辦理離職退保者。請領年齡
　　　自</t>
    </r>
    <r>
      <rPr>
        <sz val="12"/>
        <rFont val="Times New Roman"/>
        <family val="1"/>
      </rPr>
      <t>107</t>
    </r>
    <r>
      <rPr>
        <sz val="12"/>
        <rFont val="標楷體"/>
        <family val="4"/>
        <charset val="136"/>
      </rPr>
      <t>年提高為</t>
    </r>
    <r>
      <rPr>
        <sz val="12"/>
        <rFont val="Times New Roman"/>
        <family val="1"/>
      </rPr>
      <t>61</t>
    </r>
    <r>
      <rPr>
        <sz val="12"/>
        <rFont val="標楷體"/>
        <family val="4"/>
        <charset val="136"/>
      </rPr>
      <t>歲，</t>
    </r>
    <r>
      <rPr>
        <sz val="12"/>
        <rFont val="Times New Roman"/>
        <family val="1"/>
      </rPr>
      <t>109</t>
    </r>
    <r>
      <rPr>
        <sz val="12"/>
        <rFont val="標楷體"/>
        <family val="4"/>
        <charset val="136"/>
      </rPr>
      <t>年為</t>
    </r>
    <r>
      <rPr>
        <sz val="12"/>
        <rFont val="Times New Roman"/>
        <family val="1"/>
      </rPr>
      <t>62</t>
    </r>
    <r>
      <rPr>
        <sz val="12"/>
        <rFont val="標楷體"/>
        <family val="4"/>
        <charset val="136"/>
      </rPr>
      <t>歲，</t>
    </r>
    <r>
      <rPr>
        <sz val="12"/>
        <rFont val="Times New Roman"/>
        <family val="1"/>
      </rPr>
      <t>111</t>
    </r>
    <r>
      <rPr>
        <sz val="12"/>
        <rFont val="標楷體"/>
        <family val="4"/>
        <charset val="136"/>
      </rPr>
      <t>年為</t>
    </r>
    <r>
      <rPr>
        <sz val="12"/>
        <rFont val="Times New Roman"/>
        <family val="1"/>
      </rPr>
      <t>63</t>
    </r>
    <r>
      <rPr>
        <sz val="12"/>
        <rFont val="標楷體"/>
        <family val="4"/>
        <charset val="136"/>
      </rPr>
      <t>歲，</t>
    </r>
    <r>
      <rPr>
        <sz val="12"/>
        <rFont val="Times New Roman"/>
        <family val="1"/>
      </rPr>
      <t>113</t>
    </r>
    <r>
      <rPr>
        <sz val="12"/>
        <rFont val="標楷體"/>
        <family val="4"/>
        <charset val="136"/>
      </rPr>
      <t>年為</t>
    </r>
    <r>
      <rPr>
        <sz val="12"/>
        <rFont val="Times New Roman"/>
        <family val="1"/>
      </rPr>
      <t>64</t>
    </r>
    <r>
      <rPr>
        <sz val="12"/>
        <rFont val="標楷體"/>
        <family val="4"/>
        <charset val="136"/>
      </rPr>
      <t>歲，</t>
    </r>
    <r>
      <rPr>
        <sz val="12"/>
        <rFont val="Times New Roman"/>
        <family val="1"/>
      </rPr>
      <t>115</t>
    </r>
    <r>
      <rPr>
        <sz val="12"/>
        <rFont val="標楷體"/>
        <family val="4"/>
        <charset val="136"/>
      </rPr>
      <t>年以後為</t>
    </r>
    <r>
      <rPr>
        <sz val="12"/>
        <rFont val="Times New Roman"/>
        <family val="1"/>
      </rPr>
      <t>65</t>
    </r>
    <r>
      <rPr>
        <sz val="12"/>
        <rFont val="標楷體"/>
        <family val="4"/>
        <charset val="136"/>
      </rPr>
      <t>歲。依下列
　　　</t>
    </r>
    <r>
      <rPr>
        <sz val="12"/>
        <rFont val="Times New Roman"/>
        <family val="1"/>
      </rPr>
      <t>2</t>
    </r>
    <r>
      <rPr>
        <sz val="12"/>
        <rFont val="標楷體"/>
        <family val="4"/>
        <charset val="136"/>
      </rPr>
      <t>種方式擇優發給：</t>
    </r>
    <r>
      <rPr>
        <sz val="12"/>
        <rFont val="Times New Roman"/>
        <family val="1"/>
      </rPr>
      <t>(1)</t>
    </r>
    <r>
      <rPr>
        <sz val="12"/>
        <rFont val="標楷體"/>
        <family val="4"/>
        <charset val="136"/>
      </rPr>
      <t>平均月投保薪資×年資×</t>
    </r>
    <r>
      <rPr>
        <sz val="12"/>
        <rFont val="Times New Roman"/>
        <family val="1"/>
      </rPr>
      <t>0.775%+3,000</t>
    </r>
    <r>
      <rPr>
        <sz val="12"/>
        <rFont val="標楷體"/>
        <family val="4"/>
        <charset val="136"/>
      </rPr>
      <t>元；</t>
    </r>
    <r>
      <rPr>
        <sz val="12"/>
        <rFont val="Times New Roman"/>
        <family val="1"/>
      </rPr>
      <t>(2)</t>
    </r>
    <r>
      <rPr>
        <sz val="12"/>
        <rFont val="標楷體"/>
        <family val="4"/>
        <charset val="136"/>
      </rPr>
      <t>平均月投保薪資×年資×
　　　</t>
    </r>
    <r>
      <rPr>
        <sz val="12"/>
        <rFont val="Times New Roman"/>
        <family val="1"/>
      </rPr>
      <t>1.55%</t>
    </r>
    <r>
      <rPr>
        <sz val="12"/>
        <rFont val="標楷體"/>
        <family val="4"/>
        <charset val="136"/>
      </rPr>
      <t>；平均月投保薪資按加保期間最高</t>
    </r>
    <r>
      <rPr>
        <sz val="12"/>
        <rFont val="Times New Roman"/>
        <family val="1"/>
      </rPr>
      <t>60</t>
    </r>
    <r>
      <rPr>
        <sz val="12"/>
        <rFont val="標楷體"/>
        <family val="4"/>
        <charset val="136"/>
      </rPr>
      <t>個月之月投保薪資平均計算。未達請領年齡而提前
　　　請領者，每提前</t>
    </r>
    <r>
      <rPr>
        <sz val="12"/>
        <rFont val="Times New Roman"/>
        <family val="1"/>
      </rPr>
      <t>1</t>
    </r>
    <r>
      <rPr>
        <sz val="12"/>
        <rFont val="標楷體"/>
        <family val="4"/>
        <charset val="136"/>
      </rPr>
      <t>年按給付金額減給</t>
    </r>
    <r>
      <rPr>
        <sz val="12"/>
        <rFont val="Times New Roman"/>
        <family val="1"/>
      </rPr>
      <t>4%</t>
    </r>
    <r>
      <rPr>
        <sz val="12"/>
        <rFont val="標楷體"/>
        <family val="4"/>
        <charset val="136"/>
      </rPr>
      <t>，最多提前</t>
    </r>
    <r>
      <rPr>
        <sz val="12"/>
        <rFont val="Times New Roman"/>
        <family val="1"/>
      </rPr>
      <t>5</t>
    </r>
    <r>
      <rPr>
        <sz val="12"/>
        <rFont val="標楷體"/>
        <family val="4"/>
        <charset val="136"/>
      </rPr>
      <t>年減給</t>
    </r>
    <r>
      <rPr>
        <sz val="12"/>
        <rFont val="Times New Roman"/>
        <family val="1"/>
      </rPr>
      <t>20%</t>
    </r>
    <r>
      <rPr>
        <sz val="12"/>
        <rFont val="標楷體"/>
        <family val="4"/>
        <charset val="136"/>
      </rPr>
      <t>；符合老年年金給付請領年齡
　　　而延後請領者，每延後</t>
    </r>
    <r>
      <rPr>
        <sz val="12"/>
        <rFont val="Times New Roman"/>
        <family val="1"/>
      </rPr>
      <t>1</t>
    </r>
    <r>
      <rPr>
        <sz val="12"/>
        <rFont val="標楷體"/>
        <family val="4"/>
        <charset val="136"/>
      </rPr>
      <t>年按給付金額增給</t>
    </r>
    <r>
      <rPr>
        <sz val="12"/>
        <rFont val="Times New Roman"/>
        <family val="1"/>
      </rPr>
      <t>4%</t>
    </r>
    <r>
      <rPr>
        <sz val="12"/>
        <rFont val="標楷體"/>
        <family val="4"/>
        <charset val="136"/>
      </rPr>
      <t>，最多增給</t>
    </r>
    <r>
      <rPr>
        <sz val="12"/>
        <rFont val="Times New Roman"/>
        <family val="1"/>
      </rPr>
      <t>20%</t>
    </r>
    <r>
      <rPr>
        <sz val="12"/>
        <rFont val="標楷體"/>
        <family val="4"/>
        <charset val="136"/>
      </rPr>
      <t>。
　　</t>
    </r>
    <r>
      <rPr>
        <sz val="12"/>
        <rFont val="Times New Roman"/>
        <family val="1"/>
      </rPr>
      <t xml:space="preserve">2. </t>
    </r>
    <r>
      <rPr>
        <sz val="12"/>
        <rFont val="標楷體"/>
        <family val="4"/>
        <charset val="136"/>
      </rPr>
      <t>老年年金給付部分案件被保險人退保當時投保單位之地區不明，故本表總計包含無法歸類縣
　　　市別之男性</t>
    </r>
    <r>
      <rPr>
        <sz val="12"/>
        <rFont val="Times New Roman"/>
        <family val="1"/>
      </rPr>
      <t>-128,493</t>
    </r>
    <r>
      <rPr>
        <sz val="12"/>
        <rFont val="標楷體"/>
        <family val="4"/>
        <charset val="136"/>
      </rPr>
      <t>元；女性</t>
    </r>
    <r>
      <rPr>
        <sz val="12"/>
        <rFont val="Times New Roman"/>
        <family val="1"/>
      </rPr>
      <t>-339,452</t>
    </r>
    <r>
      <rPr>
        <sz val="12"/>
        <rFont val="標楷體"/>
        <family val="4"/>
        <charset val="136"/>
      </rPr>
      <t>元。
　　</t>
    </r>
    <r>
      <rPr>
        <sz val="12"/>
        <rFont val="Times New Roman"/>
        <family val="1"/>
      </rPr>
      <t xml:space="preserve">3. </t>
    </r>
    <r>
      <rPr>
        <sz val="12"/>
        <rFont val="標楷體"/>
        <family val="4"/>
        <charset val="136"/>
      </rPr>
      <t>老年年金給付平均月領金額＝全年核付金額</t>
    </r>
    <r>
      <rPr>
        <sz val="12"/>
        <rFont val="Times New Roman"/>
        <family val="1"/>
      </rPr>
      <t xml:space="preserve"> </t>
    </r>
    <r>
      <rPr>
        <sz val="12"/>
        <rFont val="標楷體"/>
        <family val="4"/>
        <charset val="136"/>
      </rPr>
      <t>÷平均核付人數÷</t>
    </r>
    <r>
      <rPr>
        <sz val="12"/>
        <rFont val="Times New Roman"/>
        <family val="1"/>
      </rPr>
      <t>12</t>
    </r>
    <r>
      <rPr>
        <sz val="12"/>
        <rFont val="標楷體"/>
        <family val="4"/>
        <charset val="136"/>
      </rPr>
      <t>。
　　</t>
    </r>
    <r>
      <rPr>
        <sz val="12"/>
        <rFont val="Times New Roman"/>
        <family val="1"/>
      </rPr>
      <t xml:space="preserve">4. </t>
    </r>
    <r>
      <rPr>
        <sz val="12"/>
        <rFont val="標楷體"/>
        <family val="4"/>
        <charset val="136"/>
      </rPr>
      <t>本表部分數字因四捨五入關係，致細項之和與總計略有出入。</t>
    </r>
    <phoneticPr fontId="14" type="noConversion"/>
  </si>
  <si>
    <r>
      <rPr>
        <sz val="12"/>
        <rFont val="標楷體"/>
        <family val="4"/>
        <charset val="136"/>
      </rPr>
      <t>註：</t>
    </r>
    <r>
      <rPr>
        <sz val="12"/>
        <rFont val="Times New Roman"/>
        <family val="1"/>
      </rPr>
      <t xml:space="preserve">1. </t>
    </r>
    <r>
      <rPr>
        <sz val="12"/>
        <rFont val="標楷體"/>
        <family val="4"/>
        <charset val="136"/>
      </rPr>
      <t>老年年金給付係指被保險人年滿</t>
    </r>
    <r>
      <rPr>
        <sz val="12"/>
        <rFont val="Times New Roman"/>
        <family val="1"/>
      </rPr>
      <t>60</t>
    </r>
    <r>
      <rPr>
        <sz val="12"/>
        <rFont val="標楷體"/>
        <family val="4"/>
        <charset val="136"/>
      </rPr>
      <t>歲，保險年資合計滿</t>
    </r>
    <r>
      <rPr>
        <sz val="12"/>
        <rFont val="Times New Roman"/>
        <family val="1"/>
      </rPr>
      <t>15</t>
    </r>
    <r>
      <rPr>
        <sz val="12"/>
        <rFont val="標楷體"/>
        <family val="4"/>
        <charset val="136"/>
      </rPr>
      <t>年，並辦理離職退保者。請領年齡
　　　自</t>
    </r>
    <r>
      <rPr>
        <sz val="12"/>
        <rFont val="Times New Roman"/>
        <family val="1"/>
      </rPr>
      <t>107</t>
    </r>
    <r>
      <rPr>
        <sz val="12"/>
        <rFont val="標楷體"/>
        <family val="4"/>
        <charset val="136"/>
      </rPr>
      <t>年提高為</t>
    </r>
    <r>
      <rPr>
        <sz val="12"/>
        <rFont val="Times New Roman"/>
        <family val="1"/>
      </rPr>
      <t>61</t>
    </r>
    <r>
      <rPr>
        <sz val="12"/>
        <rFont val="標楷體"/>
        <family val="4"/>
        <charset val="136"/>
      </rPr>
      <t>歲，</t>
    </r>
    <r>
      <rPr>
        <sz val="12"/>
        <rFont val="Times New Roman"/>
        <family val="1"/>
      </rPr>
      <t>109</t>
    </r>
    <r>
      <rPr>
        <sz val="12"/>
        <rFont val="標楷體"/>
        <family val="4"/>
        <charset val="136"/>
      </rPr>
      <t>年為</t>
    </r>
    <r>
      <rPr>
        <sz val="12"/>
        <rFont val="Times New Roman"/>
        <family val="1"/>
      </rPr>
      <t>62</t>
    </r>
    <r>
      <rPr>
        <sz val="12"/>
        <rFont val="標楷體"/>
        <family val="4"/>
        <charset val="136"/>
      </rPr>
      <t>歲，</t>
    </r>
    <r>
      <rPr>
        <sz val="12"/>
        <rFont val="Times New Roman"/>
        <family val="1"/>
      </rPr>
      <t>111</t>
    </r>
    <r>
      <rPr>
        <sz val="12"/>
        <rFont val="標楷體"/>
        <family val="4"/>
        <charset val="136"/>
      </rPr>
      <t>年為</t>
    </r>
    <r>
      <rPr>
        <sz val="12"/>
        <rFont val="Times New Roman"/>
        <family val="1"/>
      </rPr>
      <t>63</t>
    </r>
    <r>
      <rPr>
        <sz val="12"/>
        <rFont val="標楷體"/>
        <family val="4"/>
        <charset val="136"/>
      </rPr>
      <t>歲，</t>
    </r>
    <r>
      <rPr>
        <sz val="12"/>
        <rFont val="Times New Roman"/>
        <family val="1"/>
      </rPr>
      <t>113</t>
    </r>
    <r>
      <rPr>
        <sz val="12"/>
        <rFont val="標楷體"/>
        <family val="4"/>
        <charset val="136"/>
      </rPr>
      <t>年為</t>
    </r>
    <r>
      <rPr>
        <sz val="12"/>
        <rFont val="Times New Roman"/>
        <family val="1"/>
      </rPr>
      <t>64</t>
    </r>
    <r>
      <rPr>
        <sz val="12"/>
        <rFont val="標楷體"/>
        <family val="4"/>
        <charset val="136"/>
      </rPr>
      <t>歲，</t>
    </r>
    <r>
      <rPr>
        <sz val="12"/>
        <rFont val="Times New Roman"/>
        <family val="1"/>
      </rPr>
      <t>115</t>
    </r>
    <r>
      <rPr>
        <sz val="12"/>
        <rFont val="標楷體"/>
        <family val="4"/>
        <charset val="136"/>
      </rPr>
      <t>年以後為</t>
    </r>
    <r>
      <rPr>
        <sz val="12"/>
        <rFont val="Times New Roman"/>
        <family val="1"/>
      </rPr>
      <t>65</t>
    </r>
    <r>
      <rPr>
        <sz val="12"/>
        <rFont val="標楷體"/>
        <family val="4"/>
        <charset val="136"/>
      </rPr>
      <t>歲。依下列
　　　</t>
    </r>
    <r>
      <rPr>
        <sz val="12"/>
        <rFont val="Times New Roman"/>
        <family val="1"/>
      </rPr>
      <t>2</t>
    </r>
    <r>
      <rPr>
        <sz val="12"/>
        <rFont val="標楷體"/>
        <family val="4"/>
        <charset val="136"/>
      </rPr>
      <t>種方式擇優發給：</t>
    </r>
    <r>
      <rPr>
        <sz val="12"/>
        <rFont val="Times New Roman"/>
        <family val="1"/>
      </rPr>
      <t>(1)</t>
    </r>
    <r>
      <rPr>
        <sz val="12"/>
        <rFont val="標楷體"/>
        <family val="4"/>
        <charset val="136"/>
      </rPr>
      <t>平均月投保薪資×年資×</t>
    </r>
    <r>
      <rPr>
        <sz val="12"/>
        <rFont val="Times New Roman"/>
        <family val="1"/>
      </rPr>
      <t>0.775%+3,000</t>
    </r>
    <r>
      <rPr>
        <sz val="12"/>
        <rFont val="標楷體"/>
        <family val="4"/>
        <charset val="136"/>
      </rPr>
      <t>元；</t>
    </r>
    <r>
      <rPr>
        <sz val="12"/>
        <rFont val="Times New Roman"/>
        <family val="1"/>
      </rPr>
      <t>(2)</t>
    </r>
    <r>
      <rPr>
        <sz val="12"/>
        <rFont val="標楷體"/>
        <family val="4"/>
        <charset val="136"/>
      </rPr>
      <t>平均月投保薪資×年資×
　　　</t>
    </r>
    <r>
      <rPr>
        <sz val="12"/>
        <rFont val="Times New Roman"/>
        <family val="1"/>
      </rPr>
      <t>1.55%</t>
    </r>
    <r>
      <rPr>
        <sz val="12"/>
        <rFont val="標楷體"/>
        <family val="4"/>
        <charset val="136"/>
      </rPr>
      <t>；平均月投保薪資按加保期間最高</t>
    </r>
    <r>
      <rPr>
        <sz val="12"/>
        <rFont val="Times New Roman"/>
        <family val="1"/>
      </rPr>
      <t>60</t>
    </r>
    <r>
      <rPr>
        <sz val="12"/>
        <rFont val="標楷體"/>
        <family val="4"/>
        <charset val="136"/>
      </rPr>
      <t>個月之月投保薪資平均計算。未達請領年齡而提前
　　　請領者，每提前</t>
    </r>
    <r>
      <rPr>
        <sz val="12"/>
        <rFont val="Times New Roman"/>
        <family val="1"/>
      </rPr>
      <t>1</t>
    </r>
    <r>
      <rPr>
        <sz val="12"/>
        <rFont val="標楷體"/>
        <family val="4"/>
        <charset val="136"/>
      </rPr>
      <t>年按給付金額減給</t>
    </r>
    <r>
      <rPr>
        <sz val="12"/>
        <rFont val="Times New Roman"/>
        <family val="1"/>
      </rPr>
      <t>4%</t>
    </r>
    <r>
      <rPr>
        <sz val="12"/>
        <rFont val="標楷體"/>
        <family val="4"/>
        <charset val="136"/>
      </rPr>
      <t>，最多提前</t>
    </r>
    <r>
      <rPr>
        <sz val="12"/>
        <rFont val="Times New Roman"/>
        <family val="1"/>
      </rPr>
      <t>5</t>
    </r>
    <r>
      <rPr>
        <sz val="12"/>
        <rFont val="標楷體"/>
        <family val="4"/>
        <charset val="136"/>
      </rPr>
      <t>年減給</t>
    </r>
    <r>
      <rPr>
        <sz val="12"/>
        <rFont val="Times New Roman"/>
        <family val="1"/>
      </rPr>
      <t>20%</t>
    </r>
    <r>
      <rPr>
        <sz val="12"/>
        <rFont val="標楷體"/>
        <family val="4"/>
        <charset val="136"/>
      </rPr>
      <t>；符合老年年金給付請領年齡
　　　而延後請領者，每延後</t>
    </r>
    <r>
      <rPr>
        <sz val="12"/>
        <rFont val="Times New Roman"/>
        <family val="1"/>
      </rPr>
      <t>1</t>
    </r>
    <r>
      <rPr>
        <sz val="12"/>
        <rFont val="標楷體"/>
        <family val="4"/>
        <charset val="136"/>
      </rPr>
      <t>年按給付金額增給</t>
    </r>
    <r>
      <rPr>
        <sz val="12"/>
        <rFont val="Times New Roman"/>
        <family val="1"/>
      </rPr>
      <t>4%</t>
    </r>
    <r>
      <rPr>
        <sz val="12"/>
        <rFont val="標楷體"/>
        <family val="4"/>
        <charset val="136"/>
      </rPr>
      <t>，最多增給</t>
    </r>
    <r>
      <rPr>
        <sz val="12"/>
        <rFont val="Times New Roman"/>
        <family val="1"/>
      </rPr>
      <t>20%</t>
    </r>
    <r>
      <rPr>
        <sz val="12"/>
        <rFont val="標楷體"/>
        <family val="4"/>
        <charset val="136"/>
      </rPr>
      <t>。
　　</t>
    </r>
    <r>
      <rPr>
        <sz val="12"/>
        <rFont val="Times New Roman"/>
        <family val="1"/>
      </rPr>
      <t xml:space="preserve">2. </t>
    </r>
    <r>
      <rPr>
        <sz val="12"/>
        <rFont val="標楷體"/>
        <family val="4"/>
        <charset val="136"/>
      </rPr>
      <t>老年年金給付部分案件被保險人退保當時投保單位之地區不明，故本表總計包含無法歸類縣
　　　市別之男性</t>
    </r>
    <r>
      <rPr>
        <sz val="12"/>
        <rFont val="Times New Roman"/>
        <family val="1"/>
      </rPr>
      <t>-273,907</t>
    </r>
    <r>
      <rPr>
        <sz val="12"/>
        <rFont val="標楷體"/>
        <family val="4"/>
        <charset val="136"/>
      </rPr>
      <t>元；女性</t>
    </r>
    <r>
      <rPr>
        <sz val="12"/>
        <rFont val="Times New Roman"/>
        <family val="1"/>
      </rPr>
      <t>-161,354</t>
    </r>
    <r>
      <rPr>
        <sz val="12"/>
        <rFont val="標楷體"/>
        <family val="4"/>
        <charset val="136"/>
      </rPr>
      <t>元。
　　</t>
    </r>
    <r>
      <rPr>
        <sz val="12"/>
        <rFont val="Times New Roman"/>
        <family val="1"/>
      </rPr>
      <t xml:space="preserve">3. </t>
    </r>
    <r>
      <rPr>
        <sz val="12"/>
        <rFont val="標楷體"/>
        <family val="4"/>
        <charset val="136"/>
      </rPr>
      <t>老年年金給付平均月領金額＝全年核付金額</t>
    </r>
    <r>
      <rPr>
        <sz val="12"/>
        <rFont val="Times New Roman"/>
        <family val="1"/>
      </rPr>
      <t xml:space="preserve"> </t>
    </r>
    <r>
      <rPr>
        <sz val="12"/>
        <rFont val="標楷體"/>
        <family val="4"/>
        <charset val="136"/>
      </rPr>
      <t>÷平均核付人數÷</t>
    </r>
    <r>
      <rPr>
        <sz val="12"/>
        <rFont val="Times New Roman"/>
        <family val="1"/>
      </rPr>
      <t>12</t>
    </r>
    <r>
      <rPr>
        <sz val="12"/>
        <rFont val="標楷體"/>
        <family val="4"/>
        <charset val="136"/>
      </rPr>
      <t>。
　　</t>
    </r>
    <r>
      <rPr>
        <sz val="12"/>
        <rFont val="Times New Roman"/>
        <family val="1"/>
      </rPr>
      <t xml:space="preserve">4. </t>
    </r>
    <r>
      <rPr>
        <sz val="12"/>
        <rFont val="標楷體"/>
        <family val="4"/>
        <charset val="136"/>
      </rPr>
      <t>配合部分縣市合併或改制為直轄市，自</t>
    </r>
    <r>
      <rPr>
        <sz val="12"/>
        <rFont val="Times New Roman"/>
        <family val="1"/>
      </rPr>
      <t>100</t>
    </r>
    <r>
      <rPr>
        <sz val="12"/>
        <rFont val="標楷體"/>
        <family val="4"/>
        <charset val="136"/>
      </rPr>
      <t>年起統計資料依改制後縣市別編製。
　　</t>
    </r>
    <r>
      <rPr>
        <sz val="12"/>
        <rFont val="Times New Roman"/>
        <family val="1"/>
      </rPr>
      <t xml:space="preserve">5. </t>
    </r>
    <r>
      <rPr>
        <sz val="12"/>
        <rFont val="標楷體"/>
        <family val="4"/>
        <charset val="136"/>
      </rPr>
      <t>本表部分數字因四捨五入關係，致細項之和與總計略有出入。</t>
    </r>
    <phoneticPr fontId="14" type="noConversion"/>
  </si>
  <si>
    <t>平均
月領
金額</t>
    <phoneticPr fontId="4" type="noConversion"/>
  </si>
  <si>
    <t>平均
月領
金額</t>
    <phoneticPr fontId="4" type="noConversion"/>
  </si>
  <si>
    <t>平均
月領
金額</t>
    <phoneticPr fontId="4" type="noConversion"/>
  </si>
  <si>
    <r>
      <t>108</t>
    </r>
    <r>
      <rPr>
        <sz val="12"/>
        <rFont val="標楷體"/>
        <family val="4"/>
        <charset val="136"/>
      </rPr>
      <t>年</t>
    </r>
    <phoneticPr fontId="4" type="noConversion"/>
  </si>
  <si>
    <r>
      <rPr>
        <sz val="12"/>
        <rFont val="標楷體"/>
        <family val="4"/>
        <charset val="136"/>
      </rPr>
      <t>註：</t>
    </r>
    <r>
      <rPr>
        <sz val="12"/>
        <rFont val="Times New Roman"/>
        <family val="1"/>
      </rPr>
      <t xml:space="preserve">1. </t>
    </r>
    <r>
      <rPr>
        <sz val="12"/>
        <rFont val="標楷體"/>
        <family val="4"/>
        <charset val="136"/>
      </rPr>
      <t>老年年金給付係指被保險人年滿</t>
    </r>
    <r>
      <rPr>
        <sz val="12"/>
        <rFont val="Times New Roman"/>
        <family val="1"/>
      </rPr>
      <t>60</t>
    </r>
    <r>
      <rPr>
        <sz val="12"/>
        <rFont val="標楷體"/>
        <family val="4"/>
        <charset val="136"/>
      </rPr>
      <t>歲，保險年資合計滿</t>
    </r>
    <r>
      <rPr>
        <sz val="12"/>
        <rFont val="Times New Roman"/>
        <family val="1"/>
      </rPr>
      <t>15</t>
    </r>
    <r>
      <rPr>
        <sz val="12"/>
        <rFont val="標楷體"/>
        <family val="4"/>
        <charset val="136"/>
      </rPr>
      <t>年，並辦理離職退保者。請領年齡
　　　自</t>
    </r>
    <r>
      <rPr>
        <sz val="12"/>
        <rFont val="Times New Roman"/>
        <family val="1"/>
      </rPr>
      <t>107</t>
    </r>
    <r>
      <rPr>
        <sz val="12"/>
        <rFont val="標楷體"/>
        <family val="4"/>
        <charset val="136"/>
      </rPr>
      <t>年提高為</t>
    </r>
    <r>
      <rPr>
        <sz val="12"/>
        <rFont val="Times New Roman"/>
        <family val="1"/>
      </rPr>
      <t>61</t>
    </r>
    <r>
      <rPr>
        <sz val="12"/>
        <rFont val="標楷體"/>
        <family val="4"/>
        <charset val="136"/>
      </rPr>
      <t>歲，</t>
    </r>
    <r>
      <rPr>
        <sz val="12"/>
        <rFont val="Times New Roman"/>
        <family val="1"/>
      </rPr>
      <t>109</t>
    </r>
    <r>
      <rPr>
        <sz val="12"/>
        <rFont val="標楷體"/>
        <family val="4"/>
        <charset val="136"/>
      </rPr>
      <t>年為</t>
    </r>
    <r>
      <rPr>
        <sz val="12"/>
        <rFont val="Times New Roman"/>
        <family val="1"/>
      </rPr>
      <t>62</t>
    </r>
    <r>
      <rPr>
        <sz val="12"/>
        <rFont val="標楷體"/>
        <family val="4"/>
        <charset val="136"/>
      </rPr>
      <t>歲，</t>
    </r>
    <r>
      <rPr>
        <sz val="12"/>
        <rFont val="Times New Roman"/>
        <family val="1"/>
      </rPr>
      <t>111</t>
    </r>
    <r>
      <rPr>
        <sz val="12"/>
        <rFont val="標楷體"/>
        <family val="4"/>
        <charset val="136"/>
      </rPr>
      <t>年為</t>
    </r>
    <r>
      <rPr>
        <sz val="12"/>
        <rFont val="Times New Roman"/>
        <family val="1"/>
      </rPr>
      <t>63</t>
    </r>
    <r>
      <rPr>
        <sz val="12"/>
        <rFont val="標楷體"/>
        <family val="4"/>
        <charset val="136"/>
      </rPr>
      <t>歲，</t>
    </r>
    <r>
      <rPr>
        <sz val="12"/>
        <rFont val="Times New Roman"/>
        <family val="1"/>
      </rPr>
      <t>113</t>
    </r>
    <r>
      <rPr>
        <sz val="12"/>
        <rFont val="標楷體"/>
        <family val="4"/>
        <charset val="136"/>
      </rPr>
      <t>年為</t>
    </r>
    <r>
      <rPr>
        <sz val="12"/>
        <rFont val="Times New Roman"/>
        <family val="1"/>
      </rPr>
      <t>64</t>
    </r>
    <r>
      <rPr>
        <sz val="12"/>
        <rFont val="標楷體"/>
        <family val="4"/>
        <charset val="136"/>
      </rPr>
      <t>歲，</t>
    </r>
    <r>
      <rPr>
        <sz val="12"/>
        <rFont val="Times New Roman"/>
        <family val="1"/>
      </rPr>
      <t>115</t>
    </r>
    <r>
      <rPr>
        <sz val="12"/>
        <rFont val="標楷體"/>
        <family val="4"/>
        <charset val="136"/>
      </rPr>
      <t>年以後為</t>
    </r>
    <r>
      <rPr>
        <sz val="12"/>
        <rFont val="Times New Roman"/>
        <family val="1"/>
      </rPr>
      <t>65</t>
    </r>
    <r>
      <rPr>
        <sz val="12"/>
        <rFont val="標楷體"/>
        <family val="4"/>
        <charset val="136"/>
      </rPr>
      <t>歲。依下列</t>
    </r>
    <r>
      <rPr>
        <sz val="12"/>
        <rFont val="Times New Roman"/>
        <family val="1"/>
      </rPr>
      <t xml:space="preserve">
</t>
    </r>
    <r>
      <rPr>
        <sz val="12"/>
        <rFont val="標楷體"/>
        <family val="4"/>
        <charset val="136"/>
      </rPr>
      <t>　　　</t>
    </r>
    <r>
      <rPr>
        <sz val="12"/>
        <rFont val="Times New Roman"/>
        <family val="1"/>
      </rPr>
      <t>2</t>
    </r>
    <r>
      <rPr>
        <sz val="12"/>
        <rFont val="標楷體"/>
        <family val="4"/>
        <charset val="136"/>
      </rPr>
      <t>種方式擇優發給：</t>
    </r>
    <r>
      <rPr>
        <sz val="12"/>
        <rFont val="Times New Roman"/>
        <family val="1"/>
      </rPr>
      <t>(1)</t>
    </r>
    <r>
      <rPr>
        <sz val="12"/>
        <rFont val="標楷體"/>
        <family val="4"/>
        <charset val="136"/>
      </rPr>
      <t>平均月投保薪資×年資</t>
    </r>
    <r>
      <rPr>
        <sz val="12"/>
        <rFont val="Times New Roman"/>
        <family val="1"/>
      </rPr>
      <t>×0.775%+3,000</t>
    </r>
    <r>
      <rPr>
        <sz val="12"/>
        <rFont val="標楷體"/>
        <family val="4"/>
        <charset val="136"/>
      </rPr>
      <t>元；</t>
    </r>
    <r>
      <rPr>
        <sz val="12"/>
        <rFont val="Times New Roman"/>
        <family val="1"/>
      </rPr>
      <t>(2)</t>
    </r>
    <r>
      <rPr>
        <sz val="12"/>
        <rFont val="標楷體"/>
        <family val="4"/>
        <charset val="136"/>
      </rPr>
      <t>平均月投保薪資</t>
    </r>
    <r>
      <rPr>
        <sz val="12"/>
        <rFont val="Times New Roman"/>
        <family val="1"/>
      </rPr>
      <t>×</t>
    </r>
    <r>
      <rPr>
        <sz val="12"/>
        <rFont val="標楷體"/>
        <family val="4"/>
        <charset val="136"/>
      </rPr>
      <t>年資</t>
    </r>
    <r>
      <rPr>
        <sz val="12"/>
        <rFont val="Times New Roman"/>
        <family val="1"/>
      </rPr>
      <t>×</t>
    </r>
    <r>
      <rPr>
        <sz val="12"/>
        <rFont val="標楷體"/>
        <family val="4"/>
        <charset val="136"/>
      </rPr>
      <t xml:space="preserve">
　　　</t>
    </r>
    <r>
      <rPr>
        <sz val="12"/>
        <rFont val="Times New Roman"/>
        <family val="1"/>
      </rPr>
      <t>1.55%</t>
    </r>
    <r>
      <rPr>
        <sz val="12"/>
        <rFont val="標楷體"/>
        <family val="4"/>
        <charset val="136"/>
      </rPr>
      <t>；平均月投保薪資按加保期間最高</t>
    </r>
    <r>
      <rPr>
        <sz val="12"/>
        <rFont val="Times New Roman"/>
        <family val="1"/>
      </rPr>
      <t>60</t>
    </r>
    <r>
      <rPr>
        <sz val="12"/>
        <rFont val="標楷體"/>
        <family val="4"/>
        <charset val="136"/>
      </rPr>
      <t>個月之月投保薪資平均計算。未達請領年齡而提前
　　　請領者，每提前</t>
    </r>
    <r>
      <rPr>
        <sz val="12"/>
        <rFont val="Times New Roman"/>
        <family val="1"/>
      </rPr>
      <t>1</t>
    </r>
    <r>
      <rPr>
        <sz val="12"/>
        <rFont val="標楷體"/>
        <family val="4"/>
        <charset val="136"/>
      </rPr>
      <t>年按給付金額減給</t>
    </r>
    <r>
      <rPr>
        <sz val="12"/>
        <rFont val="Times New Roman"/>
        <family val="1"/>
      </rPr>
      <t>4%</t>
    </r>
    <r>
      <rPr>
        <sz val="12"/>
        <rFont val="標楷體"/>
        <family val="4"/>
        <charset val="136"/>
      </rPr>
      <t>，最多提前</t>
    </r>
    <r>
      <rPr>
        <sz val="12"/>
        <rFont val="Times New Roman"/>
        <family val="1"/>
      </rPr>
      <t>5</t>
    </r>
    <r>
      <rPr>
        <sz val="12"/>
        <rFont val="標楷體"/>
        <family val="4"/>
        <charset val="136"/>
      </rPr>
      <t>年減給</t>
    </r>
    <r>
      <rPr>
        <sz val="12"/>
        <rFont val="Times New Roman"/>
        <family val="1"/>
      </rPr>
      <t>20%</t>
    </r>
    <r>
      <rPr>
        <sz val="12"/>
        <rFont val="標楷體"/>
        <family val="4"/>
        <charset val="136"/>
      </rPr>
      <t>；符合老年年金給付請領年齡
　　　而延後請領者，每延後</t>
    </r>
    <r>
      <rPr>
        <sz val="12"/>
        <rFont val="Times New Roman"/>
        <family val="1"/>
      </rPr>
      <t>1</t>
    </r>
    <r>
      <rPr>
        <sz val="12"/>
        <rFont val="標楷體"/>
        <family val="4"/>
        <charset val="136"/>
      </rPr>
      <t>年按給付金額增給</t>
    </r>
    <r>
      <rPr>
        <sz val="12"/>
        <rFont val="Times New Roman"/>
        <family val="1"/>
      </rPr>
      <t>4%</t>
    </r>
    <r>
      <rPr>
        <sz val="12"/>
        <rFont val="標楷體"/>
        <family val="4"/>
        <charset val="136"/>
      </rPr>
      <t>，最多增給</t>
    </r>
    <r>
      <rPr>
        <sz val="12"/>
        <rFont val="Times New Roman"/>
        <family val="1"/>
      </rPr>
      <t>20%</t>
    </r>
    <r>
      <rPr>
        <sz val="12"/>
        <rFont val="標楷體"/>
        <family val="4"/>
        <charset val="136"/>
      </rPr>
      <t>。
　　</t>
    </r>
    <r>
      <rPr>
        <sz val="12"/>
        <rFont val="Times New Roman"/>
        <family val="1"/>
      </rPr>
      <t xml:space="preserve">2. </t>
    </r>
    <r>
      <rPr>
        <sz val="12"/>
        <rFont val="標楷體"/>
        <family val="4"/>
        <charset val="136"/>
      </rPr>
      <t>老年年金給付部分案件被保險人退保當時投保單位之地區不明，故本表總計包含無法歸類縣
　　　市別之男性</t>
    </r>
    <r>
      <rPr>
        <sz val="12"/>
        <rFont val="Times New Roman"/>
        <family val="1"/>
      </rPr>
      <t>52,872</t>
    </r>
    <r>
      <rPr>
        <sz val="12"/>
        <rFont val="標楷體"/>
        <family val="4"/>
        <charset val="136"/>
      </rPr>
      <t>元；女</t>
    </r>
    <r>
      <rPr>
        <sz val="12"/>
        <rFont val="Times New Roman"/>
        <family val="1"/>
      </rPr>
      <t>0</t>
    </r>
    <r>
      <rPr>
        <sz val="12"/>
        <rFont val="標楷體"/>
        <family val="4"/>
        <charset val="136"/>
      </rPr>
      <t>元。
　　</t>
    </r>
    <r>
      <rPr>
        <sz val="12"/>
        <rFont val="Times New Roman"/>
        <family val="1"/>
      </rPr>
      <t xml:space="preserve">3. </t>
    </r>
    <r>
      <rPr>
        <sz val="12"/>
        <rFont val="標楷體"/>
        <family val="4"/>
        <charset val="136"/>
      </rPr>
      <t>老年年金給付平均月領金額＝全年核付金額</t>
    </r>
    <r>
      <rPr>
        <sz val="12"/>
        <rFont val="Times New Roman"/>
        <family val="1"/>
      </rPr>
      <t xml:space="preserve"> ÷</t>
    </r>
    <r>
      <rPr>
        <sz val="12"/>
        <rFont val="標楷體"/>
        <family val="4"/>
        <charset val="136"/>
      </rPr>
      <t>平均核付人數÷</t>
    </r>
    <r>
      <rPr>
        <sz val="12"/>
        <rFont val="Times New Roman"/>
        <family val="1"/>
      </rPr>
      <t>12</t>
    </r>
    <r>
      <rPr>
        <sz val="12"/>
        <rFont val="標楷體"/>
        <family val="4"/>
        <charset val="136"/>
      </rPr>
      <t>。
　　</t>
    </r>
    <r>
      <rPr>
        <sz val="12"/>
        <rFont val="Times New Roman"/>
        <family val="1"/>
      </rPr>
      <t xml:space="preserve">4. </t>
    </r>
    <r>
      <rPr>
        <sz val="12"/>
        <rFont val="標楷體"/>
        <family val="4"/>
        <charset val="136"/>
      </rPr>
      <t>本表部分數字因四捨五入關係，致細項之和與總計略有出入。</t>
    </r>
    <phoneticPr fontId="14" type="noConversion"/>
  </si>
  <si>
    <r>
      <rPr>
        <sz val="12"/>
        <rFont val="標楷體"/>
        <family val="4"/>
        <charset val="136"/>
      </rPr>
      <t>註：</t>
    </r>
    <r>
      <rPr>
        <sz val="12"/>
        <rFont val="Times New Roman"/>
        <family val="1"/>
      </rPr>
      <t xml:space="preserve">1. </t>
    </r>
    <r>
      <rPr>
        <sz val="12"/>
        <rFont val="標楷體"/>
        <family val="4"/>
        <charset val="136"/>
      </rPr>
      <t>老年一次金給付係指被保險人年滿</t>
    </r>
    <r>
      <rPr>
        <sz val="12"/>
        <rFont val="Times New Roman"/>
        <family val="1"/>
      </rPr>
      <t>60</t>
    </r>
    <r>
      <rPr>
        <sz val="12"/>
        <rFont val="標楷體"/>
        <family val="4"/>
        <charset val="136"/>
      </rPr>
      <t>歲，保險年資合計未滿</t>
    </r>
    <r>
      <rPr>
        <sz val="12"/>
        <rFont val="Times New Roman"/>
        <family val="1"/>
      </rPr>
      <t>15</t>
    </r>
    <r>
      <rPr>
        <sz val="12"/>
        <rFont val="標楷體"/>
        <family val="4"/>
        <charset val="136"/>
      </rPr>
      <t>年，並辦理離職退保者。請領年
　　　齡自</t>
    </r>
    <r>
      <rPr>
        <sz val="12"/>
        <rFont val="Times New Roman"/>
        <family val="1"/>
      </rPr>
      <t>107</t>
    </r>
    <r>
      <rPr>
        <sz val="12"/>
        <rFont val="標楷體"/>
        <family val="4"/>
        <charset val="136"/>
      </rPr>
      <t>年提高為</t>
    </r>
    <r>
      <rPr>
        <sz val="12"/>
        <rFont val="Times New Roman"/>
        <family val="1"/>
      </rPr>
      <t>61</t>
    </r>
    <r>
      <rPr>
        <sz val="12"/>
        <rFont val="標楷體"/>
        <family val="4"/>
        <charset val="136"/>
      </rPr>
      <t>歲，</t>
    </r>
    <r>
      <rPr>
        <sz val="12"/>
        <rFont val="Times New Roman"/>
        <family val="1"/>
      </rPr>
      <t>109</t>
    </r>
    <r>
      <rPr>
        <sz val="12"/>
        <rFont val="標楷體"/>
        <family val="4"/>
        <charset val="136"/>
      </rPr>
      <t>年為</t>
    </r>
    <r>
      <rPr>
        <sz val="12"/>
        <rFont val="Times New Roman"/>
        <family val="1"/>
      </rPr>
      <t>62</t>
    </r>
    <r>
      <rPr>
        <sz val="12"/>
        <rFont val="標楷體"/>
        <family val="4"/>
        <charset val="136"/>
      </rPr>
      <t>歲，</t>
    </r>
    <r>
      <rPr>
        <sz val="12"/>
        <rFont val="Times New Roman"/>
        <family val="1"/>
      </rPr>
      <t>111</t>
    </r>
    <r>
      <rPr>
        <sz val="12"/>
        <rFont val="標楷體"/>
        <family val="4"/>
        <charset val="136"/>
      </rPr>
      <t>年為</t>
    </r>
    <r>
      <rPr>
        <sz val="12"/>
        <rFont val="Times New Roman"/>
        <family val="1"/>
      </rPr>
      <t>63</t>
    </r>
    <r>
      <rPr>
        <sz val="12"/>
        <rFont val="標楷體"/>
        <family val="4"/>
        <charset val="136"/>
      </rPr>
      <t>歲，</t>
    </r>
    <r>
      <rPr>
        <sz val="12"/>
        <rFont val="Times New Roman"/>
        <family val="1"/>
      </rPr>
      <t>113</t>
    </r>
    <r>
      <rPr>
        <sz val="12"/>
        <rFont val="標楷體"/>
        <family val="4"/>
        <charset val="136"/>
      </rPr>
      <t>年為</t>
    </r>
    <r>
      <rPr>
        <sz val="12"/>
        <rFont val="Times New Roman"/>
        <family val="1"/>
      </rPr>
      <t>64</t>
    </r>
    <r>
      <rPr>
        <sz val="12"/>
        <rFont val="標楷體"/>
        <family val="4"/>
        <charset val="136"/>
      </rPr>
      <t>歲，</t>
    </r>
    <r>
      <rPr>
        <sz val="12"/>
        <rFont val="Times New Roman"/>
        <family val="1"/>
      </rPr>
      <t>115</t>
    </r>
    <r>
      <rPr>
        <sz val="12"/>
        <rFont val="標楷體"/>
        <family val="4"/>
        <charset val="136"/>
      </rPr>
      <t>年以後為</t>
    </r>
    <r>
      <rPr>
        <sz val="12"/>
        <rFont val="Times New Roman"/>
        <family val="1"/>
      </rPr>
      <t>65</t>
    </r>
    <r>
      <rPr>
        <sz val="12"/>
        <rFont val="標楷體"/>
        <family val="4"/>
        <charset val="136"/>
      </rPr>
      <t>歲。給付金
　　　額＝平均月投保薪資</t>
    </r>
    <r>
      <rPr>
        <sz val="12"/>
        <rFont val="Times New Roman"/>
        <family val="1"/>
      </rPr>
      <t xml:space="preserve"> × </t>
    </r>
    <r>
      <rPr>
        <sz val="12"/>
        <rFont val="標楷體"/>
        <family val="4"/>
        <charset val="136"/>
      </rPr>
      <t>給付月數。平均月投保薪資按加保期間最高</t>
    </r>
    <r>
      <rPr>
        <sz val="12"/>
        <rFont val="Times New Roman"/>
        <family val="1"/>
      </rPr>
      <t>60</t>
    </r>
    <r>
      <rPr>
        <sz val="12"/>
        <rFont val="標楷體"/>
        <family val="4"/>
        <charset val="136"/>
      </rPr>
      <t>個月之月投保薪資平均計
　　　算；給付月數按保險年資計算，保險年資合計每滿</t>
    </r>
    <r>
      <rPr>
        <sz val="12"/>
        <rFont val="Times New Roman"/>
        <family val="1"/>
      </rPr>
      <t>1</t>
    </r>
    <r>
      <rPr>
        <sz val="12"/>
        <rFont val="標楷體"/>
        <family val="4"/>
        <charset val="136"/>
      </rPr>
      <t>年發給</t>
    </r>
    <r>
      <rPr>
        <sz val="12"/>
        <rFont val="Times New Roman"/>
        <family val="1"/>
      </rPr>
      <t>1</t>
    </r>
    <r>
      <rPr>
        <sz val="12"/>
        <rFont val="標楷體"/>
        <family val="4"/>
        <charset val="136"/>
      </rPr>
      <t>個月。
　　</t>
    </r>
    <r>
      <rPr>
        <sz val="12"/>
        <rFont val="Times New Roman"/>
        <family val="1"/>
      </rPr>
      <t xml:space="preserve">2. </t>
    </r>
    <r>
      <rPr>
        <sz val="12"/>
        <rFont val="標楷體"/>
        <family val="4"/>
        <charset val="136"/>
      </rPr>
      <t>老年一次金給付部分案件被保險人退保當時投保單位之地區不明，故本表總計包含無法歸類縣
　　　市別之男性</t>
    </r>
    <r>
      <rPr>
        <sz val="12"/>
        <rFont val="Times New Roman"/>
        <family val="1"/>
      </rPr>
      <t xml:space="preserve"> 0 </t>
    </r>
    <r>
      <rPr>
        <sz val="12"/>
        <rFont val="標楷體"/>
        <family val="4"/>
        <charset val="136"/>
      </rPr>
      <t>件，</t>
    </r>
    <r>
      <rPr>
        <sz val="12"/>
        <rFont val="Times New Roman"/>
        <family val="1"/>
      </rPr>
      <t>0</t>
    </r>
    <r>
      <rPr>
        <sz val="12"/>
        <rFont val="標楷體"/>
        <family val="4"/>
        <charset val="136"/>
      </rPr>
      <t>元；女性</t>
    </r>
    <r>
      <rPr>
        <sz val="12"/>
        <rFont val="Times New Roman"/>
        <family val="1"/>
      </rPr>
      <t xml:space="preserve"> 4 </t>
    </r>
    <r>
      <rPr>
        <sz val="12"/>
        <rFont val="標楷體"/>
        <family val="4"/>
        <charset val="136"/>
      </rPr>
      <t>件，</t>
    </r>
    <r>
      <rPr>
        <sz val="12"/>
        <rFont val="Times New Roman"/>
        <family val="1"/>
      </rPr>
      <t>3,872</t>
    </r>
    <r>
      <rPr>
        <sz val="12"/>
        <rFont val="標楷體"/>
        <family val="4"/>
        <charset val="136"/>
      </rPr>
      <t>元。
　　</t>
    </r>
    <r>
      <rPr>
        <sz val="12"/>
        <rFont val="Times New Roman"/>
        <family val="1"/>
      </rPr>
      <t xml:space="preserve">3. </t>
    </r>
    <r>
      <rPr>
        <sz val="12"/>
        <rFont val="標楷體"/>
        <family val="4"/>
        <charset val="136"/>
      </rPr>
      <t>老年一次金給付平均給付金額＝全年核付金額</t>
    </r>
    <r>
      <rPr>
        <sz val="12"/>
        <rFont val="Times New Roman"/>
        <family val="1"/>
      </rPr>
      <t xml:space="preserve"> ÷</t>
    </r>
    <r>
      <rPr>
        <sz val="12"/>
        <rFont val="標楷體"/>
        <family val="4"/>
        <charset val="136"/>
      </rPr>
      <t>全年核付件數。</t>
    </r>
    <phoneticPr fontId="14" type="noConversion"/>
  </si>
  <si>
    <r>
      <rPr>
        <sz val="12"/>
        <rFont val="標楷體"/>
        <family val="4"/>
        <charset val="136"/>
      </rPr>
      <t>項目
名稱</t>
    </r>
    <phoneticPr fontId="14" type="noConversion"/>
  </si>
  <si>
    <r>
      <rPr>
        <sz val="12"/>
        <rFont val="標楷體"/>
        <family val="4"/>
        <charset val="136"/>
      </rPr>
      <t>複分類
項目</t>
    </r>
    <phoneticPr fontId="4" type="noConversion"/>
  </si>
  <si>
    <r>
      <rPr>
        <sz val="12"/>
        <rFont val="標楷體"/>
        <family val="4"/>
        <charset val="136"/>
      </rPr>
      <t>合計</t>
    </r>
    <phoneticPr fontId="3" type="noConversion"/>
  </si>
  <si>
    <r>
      <rPr>
        <sz val="12"/>
        <rFont val="標楷體"/>
        <family val="4"/>
        <charset val="136"/>
      </rPr>
      <t>男</t>
    </r>
    <phoneticPr fontId="3" type="noConversion"/>
  </si>
  <si>
    <r>
      <rPr>
        <sz val="12"/>
        <rFont val="標楷體"/>
        <family val="4"/>
        <charset val="136"/>
      </rPr>
      <t>女</t>
    </r>
    <phoneticPr fontId="3" type="noConversion"/>
  </si>
  <si>
    <t>平均
給付
金額</t>
    <phoneticPr fontId="4" type="noConversion"/>
  </si>
  <si>
    <r>
      <rPr>
        <sz val="12"/>
        <rFont val="標楷體"/>
        <family val="4"/>
        <charset val="136"/>
      </rPr>
      <t>件數</t>
    </r>
    <phoneticPr fontId="4" type="noConversion"/>
  </si>
  <si>
    <r>
      <rPr>
        <sz val="12"/>
        <rFont val="標楷體"/>
        <family val="4"/>
        <charset val="136"/>
      </rPr>
      <t>金額</t>
    </r>
    <phoneticPr fontId="4" type="noConversion"/>
  </si>
  <si>
    <t>平均
月領
金額</t>
    <phoneticPr fontId="4" type="noConversion"/>
  </si>
  <si>
    <r>
      <rPr>
        <sz val="12"/>
        <rFont val="標楷體"/>
        <family val="4"/>
        <charset val="136"/>
      </rPr>
      <t>平均
核付
人數</t>
    </r>
    <phoneticPr fontId="4" type="noConversion"/>
  </si>
  <si>
    <t>一次
請領
老年
給付
(件、元)</t>
    <phoneticPr fontId="4" type="noConversion"/>
  </si>
  <si>
    <r>
      <rPr>
        <sz val="12"/>
        <rFont val="標楷體"/>
        <family val="4"/>
        <charset val="136"/>
      </rPr>
      <t>縣
市
別</t>
    </r>
    <phoneticPr fontId="3" type="noConversion"/>
  </si>
  <si>
    <t>老年
年金
給付
(人、元)</t>
    <phoneticPr fontId="4" type="noConversion"/>
  </si>
  <si>
    <t>老年
一次金
(件、元)</t>
    <phoneticPr fontId="4" type="noConversion"/>
  </si>
  <si>
    <t>老年
差額金
(件、元)</t>
    <phoneticPr fontId="4" type="noConversion"/>
  </si>
  <si>
    <r>
      <rPr>
        <b/>
        <sz val="11"/>
        <rFont val="標楷體"/>
        <family val="4"/>
        <charset val="136"/>
      </rPr>
      <t>新北市</t>
    </r>
    <phoneticPr fontId="12" type="noConversion"/>
  </si>
  <si>
    <r>
      <rPr>
        <b/>
        <sz val="11"/>
        <rFont val="標楷體"/>
        <family val="4"/>
        <charset val="136"/>
      </rPr>
      <t>臺北市</t>
    </r>
    <phoneticPr fontId="12" type="noConversion"/>
  </si>
  <si>
    <r>
      <rPr>
        <b/>
        <sz val="11"/>
        <rFont val="標楷體"/>
        <family val="4"/>
        <charset val="136"/>
      </rPr>
      <t>桃園市</t>
    </r>
    <phoneticPr fontId="12" type="noConversion"/>
  </si>
  <si>
    <r>
      <rPr>
        <b/>
        <sz val="11"/>
        <rFont val="標楷體"/>
        <family val="4"/>
        <charset val="136"/>
      </rPr>
      <t>臺中市</t>
    </r>
    <phoneticPr fontId="12" type="noConversion"/>
  </si>
  <si>
    <r>
      <rPr>
        <b/>
        <sz val="11"/>
        <rFont val="標楷體"/>
        <family val="4"/>
        <charset val="136"/>
      </rPr>
      <t>臺南市</t>
    </r>
    <phoneticPr fontId="12" type="noConversion"/>
  </si>
  <si>
    <r>
      <rPr>
        <b/>
        <sz val="11"/>
        <rFont val="標楷體"/>
        <family val="4"/>
        <charset val="136"/>
      </rPr>
      <t>高雄市</t>
    </r>
    <phoneticPr fontId="12" type="noConversion"/>
  </si>
  <si>
    <r>
      <rPr>
        <sz val="12"/>
        <rFont val="標楷體"/>
        <family val="4"/>
        <charset val="136"/>
      </rPr>
      <t>年
齡
組
別</t>
    </r>
    <phoneticPr fontId="3" type="noConversion"/>
  </si>
  <si>
    <r>
      <t>70</t>
    </r>
    <r>
      <rPr>
        <sz val="11"/>
        <rFont val="標楷體"/>
        <family val="4"/>
        <charset val="136"/>
      </rPr>
      <t>歲以上</t>
    </r>
    <phoneticPr fontId="4" type="noConversion"/>
  </si>
  <si>
    <t>109年</t>
  </si>
  <si>
    <r>
      <rPr>
        <sz val="12"/>
        <rFont val="標楷體"/>
        <family val="4"/>
        <charset val="136"/>
      </rPr>
      <t>註：</t>
    </r>
    <r>
      <rPr>
        <sz val="12"/>
        <rFont val="Times New Roman"/>
        <family val="1"/>
      </rPr>
      <t xml:space="preserve">1. </t>
    </r>
    <r>
      <rPr>
        <sz val="12"/>
        <rFont val="標楷體"/>
        <family val="4"/>
        <charset val="136"/>
      </rPr>
      <t>老年年金給付係指被保險人年滿</t>
    </r>
    <r>
      <rPr>
        <sz val="12"/>
        <rFont val="Times New Roman"/>
        <family val="1"/>
      </rPr>
      <t>60</t>
    </r>
    <r>
      <rPr>
        <sz val="12"/>
        <rFont val="標楷體"/>
        <family val="4"/>
        <charset val="136"/>
      </rPr>
      <t>歲，保險年資合計滿</t>
    </r>
    <r>
      <rPr>
        <sz val="12"/>
        <rFont val="Times New Roman"/>
        <family val="1"/>
      </rPr>
      <t>15</t>
    </r>
    <r>
      <rPr>
        <sz val="12"/>
        <rFont val="標楷體"/>
        <family val="4"/>
        <charset val="136"/>
      </rPr>
      <t>年，並辦理離職退保者。請領年齡
　　　自</t>
    </r>
    <r>
      <rPr>
        <sz val="12"/>
        <rFont val="Times New Roman"/>
        <family val="1"/>
      </rPr>
      <t>107</t>
    </r>
    <r>
      <rPr>
        <sz val="12"/>
        <rFont val="標楷體"/>
        <family val="4"/>
        <charset val="136"/>
      </rPr>
      <t>年提高為</t>
    </r>
    <r>
      <rPr>
        <sz val="12"/>
        <rFont val="Times New Roman"/>
        <family val="1"/>
      </rPr>
      <t>61</t>
    </r>
    <r>
      <rPr>
        <sz val="12"/>
        <rFont val="標楷體"/>
        <family val="4"/>
        <charset val="136"/>
      </rPr>
      <t>歲，</t>
    </r>
    <r>
      <rPr>
        <sz val="12"/>
        <rFont val="Times New Roman"/>
        <family val="1"/>
      </rPr>
      <t>109</t>
    </r>
    <r>
      <rPr>
        <sz val="12"/>
        <rFont val="標楷體"/>
        <family val="4"/>
        <charset val="136"/>
      </rPr>
      <t>年為</t>
    </r>
    <r>
      <rPr>
        <sz val="12"/>
        <rFont val="Times New Roman"/>
        <family val="1"/>
      </rPr>
      <t>62</t>
    </r>
    <r>
      <rPr>
        <sz val="12"/>
        <rFont val="標楷體"/>
        <family val="4"/>
        <charset val="136"/>
      </rPr>
      <t>歲，</t>
    </r>
    <r>
      <rPr>
        <sz val="12"/>
        <rFont val="Times New Roman"/>
        <family val="1"/>
      </rPr>
      <t>111</t>
    </r>
    <r>
      <rPr>
        <sz val="12"/>
        <rFont val="標楷體"/>
        <family val="4"/>
        <charset val="136"/>
      </rPr>
      <t>年為</t>
    </r>
    <r>
      <rPr>
        <sz val="12"/>
        <rFont val="Times New Roman"/>
        <family val="1"/>
      </rPr>
      <t>63</t>
    </r>
    <r>
      <rPr>
        <sz val="12"/>
        <rFont val="標楷體"/>
        <family val="4"/>
        <charset val="136"/>
      </rPr>
      <t>歲，</t>
    </r>
    <r>
      <rPr>
        <sz val="12"/>
        <rFont val="Times New Roman"/>
        <family val="1"/>
      </rPr>
      <t>113</t>
    </r>
    <r>
      <rPr>
        <sz val="12"/>
        <rFont val="標楷體"/>
        <family val="4"/>
        <charset val="136"/>
      </rPr>
      <t>年為</t>
    </r>
    <r>
      <rPr>
        <sz val="12"/>
        <rFont val="Times New Roman"/>
        <family val="1"/>
      </rPr>
      <t>64</t>
    </r>
    <r>
      <rPr>
        <sz val="12"/>
        <rFont val="標楷體"/>
        <family val="4"/>
        <charset val="136"/>
      </rPr>
      <t>歲，</t>
    </r>
    <r>
      <rPr>
        <sz val="12"/>
        <rFont val="Times New Roman"/>
        <family val="1"/>
      </rPr>
      <t>115</t>
    </r>
    <r>
      <rPr>
        <sz val="12"/>
        <rFont val="標楷體"/>
        <family val="4"/>
        <charset val="136"/>
      </rPr>
      <t>年以後為</t>
    </r>
    <r>
      <rPr>
        <sz val="12"/>
        <rFont val="Times New Roman"/>
        <family val="1"/>
      </rPr>
      <t>65</t>
    </r>
    <r>
      <rPr>
        <sz val="12"/>
        <rFont val="標楷體"/>
        <family val="4"/>
        <charset val="136"/>
      </rPr>
      <t>歲。依下列</t>
    </r>
    <r>
      <rPr>
        <sz val="12"/>
        <rFont val="Times New Roman"/>
        <family val="1"/>
      </rPr>
      <t xml:space="preserve">
</t>
    </r>
    <r>
      <rPr>
        <sz val="12"/>
        <rFont val="標楷體"/>
        <family val="4"/>
        <charset val="136"/>
      </rPr>
      <t>　　　</t>
    </r>
    <r>
      <rPr>
        <sz val="12"/>
        <rFont val="Times New Roman"/>
        <family val="1"/>
      </rPr>
      <t>2</t>
    </r>
    <r>
      <rPr>
        <sz val="12"/>
        <rFont val="標楷體"/>
        <family val="4"/>
        <charset val="136"/>
      </rPr>
      <t>種方式擇優發給：</t>
    </r>
    <r>
      <rPr>
        <sz val="12"/>
        <rFont val="Times New Roman"/>
        <family val="1"/>
      </rPr>
      <t>(1)</t>
    </r>
    <r>
      <rPr>
        <sz val="12"/>
        <rFont val="標楷體"/>
        <family val="4"/>
        <charset val="136"/>
      </rPr>
      <t>平均月投保薪資×年資</t>
    </r>
    <r>
      <rPr>
        <sz val="12"/>
        <rFont val="Times New Roman"/>
        <family val="1"/>
      </rPr>
      <t>×0.775%+3,000</t>
    </r>
    <r>
      <rPr>
        <sz val="12"/>
        <rFont val="標楷體"/>
        <family val="4"/>
        <charset val="136"/>
      </rPr>
      <t>元；</t>
    </r>
    <r>
      <rPr>
        <sz val="12"/>
        <rFont val="Times New Roman"/>
        <family val="1"/>
      </rPr>
      <t>(2)</t>
    </r>
    <r>
      <rPr>
        <sz val="12"/>
        <rFont val="標楷體"/>
        <family val="4"/>
        <charset val="136"/>
      </rPr>
      <t>平均月投保薪資</t>
    </r>
    <r>
      <rPr>
        <sz val="12"/>
        <rFont val="Times New Roman"/>
        <family val="1"/>
      </rPr>
      <t>×</t>
    </r>
    <r>
      <rPr>
        <sz val="12"/>
        <rFont val="標楷體"/>
        <family val="4"/>
        <charset val="136"/>
      </rPr>
      <t>年資</t>
    </r>
    <r>
      <rPr>
        <sz val="12"/>
        <rFont val="Times New Roman"/>
        <family val="1"/>
      </rPr>
      <t>×</t>
    </r>
    <r>
      <rPr>
        <sz val="12"/>
        <rFont val="標楷體"/>
        <family val="4"/>
        <charset val="136"/>
      </rPr>
      <t xml:space="preserve">
　　　</t>
    </r>
    <r>
      <rPr>
        <sz val="12"/>
        <rFont val="Times New Roman"/>
        <family val="1"/>
      </rPr>
      <t>1.55%</t>
    </r>
    <r>
      <rPr>
        <sz val="12"/>
        <rFont val="標楷體"/>
        <family val="4"/>
        <charset val="136"/>
      </rPr>
      <t>；平均月投保薪資按加保期間最高</t>
    </r>
    <r>
      <rPr>
        <sz val="12"/>
        <rFont val="Times New Roman"/>
        <family val="1"/>
      </rPr>
      <t>60</t>
    </r>
    <r>
      <rPr>
        <sz val="12"/>
        <rFont val="標楷體"/>
        <family val="4"/>
        <charset val="136"/>
      </rPr>
      <t>個月之月投保薪資平均計算。未達請領年齡而提前
　　　請領者，每提前</t>
    </r>
    <r>
      <rPr>
        <sz val="12"/>
        <rFont val="Times New Roman"/>
        <family val="1"/>
      </rPr>
      <t>1</t>
    </r>
    <r>
      <rPr>
        <sz val="12"/>
        <rFont val="標楷體"/>
        <family val="4"/>
        <charset val="136"/>
      </rPr>
      <t>年按給付金額減給</t>
    </r>
    <r>
      <rPr>
        <sz val="12"/>
        <rFont val="Times New Roman"/>
        <family val="1"/>
      </rPr>
      <t>4%</t>
    </r>
    <r>
      <rPr>
        <sz val="12"/>
        <rFont val="標楷體"/>
        <family val="4"/>
        <charset val="136"/>
      </rPr>
      <t>，最多提前</t>
    </r>
    <r>
      <rPr>
        <sz val="12"/>
        <rFont val="Times New Roman"/>
        <family val="1"/>
      </rPr>
      <t>5</t>
    </r>
    <r>
      <rPr>
        <sz val="12"/>
        <rFont val="標楷體"/>
        <family val="4"/>
        <charset val="136"/>
      </rPr>
      <t>年減給</t>
    </r>
    <r>
      <rPr>
        <sz val="12"/>
        <rFont val="Times New Roman"/>
        <family val="1"/>
      </rPr>
      <t>20%</t>
    </r>
    <r>
      <rPr>
        <sz val="12"/>
        <rFont val="標楷體"/>
        <family val="4"/>
        <charset val="136"/>
      </rPr>
      <t>；符合老年年金給付請領年齡
　　　而延後請領者，每延後</t>
    </r>
    <r>
      <rPr>
        <sz val="12"/>
        <rFont val="Times New Roman"/>
        <family val="1"/>
      </rPr>
      <t>1</t>
    </r>
    <r>
      <rPr>
        <sz val="12"/>
        <rFont val="標楷體"/>
        <family val="4"/>
        <charset val="136"/>
      </rPr>
      <t>年按給付金額增給</t>
    </r>
    <r>
      <rPr>
        <sz val="12"/>
        <rFont val="Times New Roman"/>
        <family val="1"/>
      </rPr>
      <t>4%</t>
    </r>
    <r>
      <rPr>
        <sz val="12"/>
        <rFont val="標楷體"/>
        <family val="4"/>
        <charset val="136"/>
      </rPr>
      <t>，最多增給</t>
    </r>
    <r>
      <rPr>
        <sz val="12"/>
        <rFont val="Times New Roman"/>
        <family val="1"/>
      </rPr>
      <t>20%</t>
    </r>
    <r>
      <rPr>
        <sz val="12"/>
        <rFont val="標楷體"/>
        <family val="4"/>
        <charset val="136"/>
      </rPr>
      <t>。
　　</t>
    </r>
    <r>
      <rPr>
        <sz val="12"/>
        <rFont val="Times New Roman"/>
        <family val="1"/>
      </rPr>
      <t xml:space="preserve">2. </t>
    </r>
    <r>
      <rPr>
        <sz val="12"/>
        <rFont val="標楷體"/>
        <family val="4"/>
        <charset val="136"/>
      </rPr>
      <t>老年年金給付部分案件被保險人退保當時投保單位之地區不明，故本表總計包含無法歸類縣
　　　市別之男性</t>
    </r>
    <r>
      <rPr>
        <sz val="12"/>
        <rFont val="Times New Roman"/>
        <family val="1"/>
      </rPr>
      <t>35,248</t>
    </r>
    <r>
      <rPr>
        <sz val="12"/>
        <rFont val="標楷體"/>
        <family val="4"/>
        <charset val="136"/>
      </rPr>
      <t>元；女</t>
    </r>
    <r>
      <rPr>
        <sz val="12"/>
        <rFont val="Times New Roman"/>
        <family val="1"/>
      </rPr>
      <t>0</t>
    </r>
    <r>
      <rPr>
        <sz val="12"/>
        <rFont val="標楷體"/>
        <family val="4"/>
        <charset val="136"/>
      </rPr>
      <t>元。
　　</t>
    </r>
    <r>
      <rPr>
        <sz val="12"/>
        <rFont val="Times New Roman"/>
        <family val="1"/>
      </rPr>
      <t xml:space="preserve">3. </t>
    </r>
    <r>
      <rPr>
        <sz val="12"/>
        <rFont val="標楷體"/>
        <family val="4"/>
        <charset val="136"/>
      </rPr>
      <t>老年年金給付平均月領金額＝全年核付金額</t>
    </r>
    <r>
      <rPr>
        <sz val="12"/>
        <rFont val="Times New Roman"/>
        <family val="1"/>
      </rPr>
      <t xml:space="preserve"> ÷</t>
    </r>
    <r>
      <rPr>
        <sz val="12"/>
        <rFont val="標楷體"/>
        <family val="4"/>
        <charset val="136"/>
      </rPr>
      <t>平均核付人數÷</t>
    </r>
    <r>
      <rPr>
        <sz val="12"/>
        <rFont val="Times New Roman"/>
        <family val="1"/>
      </rPr>
      <t>12</t>
    </r>
    <r>
      <rPr>
        <sz val="12"/>
        <rFont val="標楷體"/>
        <family val="4"/>
        <charset val="136"/>
      </rPr>
      <t>。
　　</t>
    </r>
    <r>
      <rPr>
        <sz val="12"/>
        <rFont val="Times New Roman"/>
        <family val="1"/>
      </rPr>
      <t xml:space="preserve">4. </t>
    </r>
    <r>
      <rPr>
        <sz val="12"/>
        <rFont val="標楷體"/>
        <family val="4"/>
        <charset val="136"/>
      </rPr>
      <t>本表部分數字因四捨五入關係，致細項之和與總計略有出入。</t>
    </r>
    <phoneticPr fontId="14" type="noConversion"/>
  </si>
  <si>
    <r>
      <t>110</t>
    </r>
    <r>
      <rPr>
        <sz val="12"/>
        <rFont val="細明體"/>
        <family val="3"/>
        <charset val="136"/>
      </rPr>
      <t>年</t>
    </r>
    <phoneticPr fontId="14" type="noConversion"/>
  </si>
  <si>
    <r>
      <rPr>
        <sz val="12"/>
        <rFont val="標楷體"/>
        <family val="4"/>
        <charset val="136"/>
      </rPr>
      <t>註：</t>
    </r>
    <r>
      <rPr>
        <sz val="12"/>
        <rFont val="Times New Roman"/>
        <family val="1"/>
      </rPr>
      <t xml:space="preserve">1. </t>
    </r>
    <r>
      <rPr>
        <sz val="12"/>
        <rFont val="標楷體"/>
        <family val="4"/>
        <charset val="136"/>
      </rPr>
      <t>老年一次金給付係指被保險人年滿</t>
    </r>
    <r>
      <rPr>
        <sz val="12"/>
        <rFont val="Times New Roman"/>
        <family val="1"/>
      </rPr>
      <t>60</t>
    </r>
    <r>
      <rPr>
        <sz val="12"/>
        <rFont val="標楷體"/>
        <family val="4"/>
        <charset val="136"/>
      </rPr>
      <t>歲，保險年資合計未滿</t>
    </r>
    <r>
      <rPr>
        <sz val="12"/>
        <rFont val="Times New Roman"/>
        <family val="1"/>
      </rPr>
      <t>15</t>
    </r>
    <r>
      <rPr>
        <sz val="12"/>
        <rFont val="標楷體"/>
        <family val="4"/>
        <charset val="136"/>
      </rPr>
      <t>年，並辦理離職退保者。請領年
　　　齡自</t>
    </r>
    <r>
      <rPr>
        <sz val="12"/>
        <rFont val="Times New Roman"/>
        <family val="1"/>
      </rPr>
      <t>107</t>
    </r>
    <r>
      <rPr>
        <sz val="12"/>
        <rFont val="標楷體"/>
        <family val="4"/>
        <charset val="136"/>
      </rPr>
      <t>年提高為</t>
    </r>
    <r>
      <rPr>
        <sz val="12"/>
        <rFont val="Times New Roman"/>
        <family val="1"/>
      </rPr>
      <t>61</t>
    </r>
    <r>
      <rPr>
        <sz val="12"/>
        <rFont val="標楷體"/>
        <family val="4"/>
        <charset val="136"/>
      </rPr>
      <t>歲，</t>
    </r>
    <r>
      <rPr>
        <sz val="12"/>
        <rFont val="Times New Roman"/>
        <family val="1"/>
      </rPr>
      <t>109</t>
    </r>
    <r>
      <rPr>
        <sz val="12"/>
        <rFont val="標楷體"/>
        <family val="4"/>
        <charset val="136"/>
      </rPr>
      <t>年為</t>
    </r>
    <r>
      <rPr>
        <sz val="12"/>
        <rFont val="Times New Roman"/>
        <family val="1"/>
      </rPr>
      <t>62</t>
    </r>
    <r>
      <rPr>
        <sz val="12"/>
        <rFont val="標楷體"/>
        <family val="4"/>
        <charset val="136"/>
      </rPr>
      <t>歲，</t>
    </r>
    <r>
      <rPr>
        <sz val="12"/>
        <rFont val="Times New Roman"/>
        <family val="1"/>
      </rPr>
      <t>111</t>
    </r>
    <r>
      <rPr>
        <sz val="12"/>
        <rFont val="標楷體"/>
        <family val="4"/>
        <charset val="136"/>
      </rPr>
      <t>年為</t>
    </r>
    <r>
      <rPr>
        <sz val="12"/>
        <rFont val="Times New Roman"/>
        <family val="1"/>
      </rPr>
      <t>63</t>
    </r>
    <r>
      <rPr>
        <sz val="12"/>
        <rFont val="標楷體"/>
        <family val="4"/>
        <charset val="136"/>
      </rPr>
      <t>歲，</t>
    </r>
    <r>
      <rPr>
        <sz val="12"/>
        <rFont val="Times New Roman"/>
        <family val="1"/>
      </rPr>
      <t>113</t>
    </r>
    <r>
      <rPr>
        <sz val="12"/>
        <rFont val="標楷體"/>
        <family val="4"/>
        <charset val="136"/>
      </rPr>
      <t>年為</t>
    </r>
    <r>
      <rPr>
        <sz val="12"/>
        <rFont val="Times New Roman"/>
        <family val="1"/>
      </rPr>
      <t>64</t>
    </r>
    <r>
      <rPr>
        <sz val="12"/>
        <rFont val="標楷體"/>
        <family val="4"/>
        <charset val="136"/>
      </rPr>
      <t>歲，</t>
    </r>
    <r>
      <rPr>
        <sz val="12"/>
        <rFont val="Times New Roman"/>
        <family val="1"/>
      </rPr>
      <t>115</t>
    </r>
    <r>
      <rPr>
        <sz val="12"/>
        <rFont val="標楷體"/>
        <family val="4"/>
        <charset val="136"/>
      </rPr>
      <t>年以後為</t>
    </r>
    <r>
      <rPr>
        <sz val="12"/>
        <rFont val="Times New Roman"/>
        <family val="1"/>
      </rPr>
      <t>65</t>
    </r>
    <r>
      <rPr>
        <sz val="12"/>
        <rFont val="標楷體"/>
        <family val="4"/>
        <charset val="136"/>
      </rPr>
      <t>歲。給付金
　　　額＝平均月投保薪資</t>
    </r>
    <r>
      <rPr>
        <sz val="12"/>
        <rFont val="Times New Roman"/>
        <family val="1"/>
      </rPr>
      <t xml:space="preserve"> × </t>
    </r>
    <r>
      <rPr>
        <sz val="12"/>
        <rFont val="標楷體"/>
        <family val="4"/>
        <charset val="136"/>
      </rPr>
      <t>給付月數。平均月投保薪資按加保期間最高</t>
    </r>
    <r>
      <rPr>
        <sz val="12"/>
        <rFont val="Times New Roman"/>
        <family val="1"/>
      </rPr>
      <t>60</t>
    </r>
    <r>
      <rPr>
        <sz val="12"/>
        <rFont val="標楷體"/>
        <family val="4"/>
        <charset val="136"/>
      </rPr>
      <t>個月之月投保薪資平均計
　　　算；給付月數按保險年資計算，保險年資合計每滿</t>
    </r>
    <r>
      <rPr>
        <sz val="12"/>
        <rFont val="Times New Roman"/>
        <family val="1"/>
      </rPr>
      <t>1</t>
    </r>
    <r>
      <rPr>
        <sz val="12"/>
        <rFont val="標楷體"/>
        <family val="4"/>
        <charset val="136"/>
      </rPr>
      <t>年發給</t>
    </r>
    <r>
      <rPr>
        <sz val="12"/>
        <rFont val="Times New Roman"/>
        <family val="1"/>
      </rPr>
      <t>1</t>
    </r>
    <r>
      <rPr>
        <sz val="12"/>
        <rFont val="標楷體"/>
        <family val="4"/>
        <charset val="136"/>
      </rPr>
      <t>個月。
　　</t>
    </r>
    <r>
      <rPr>
        <sz val="12"/>
        <rFont val="Times New Roman"/>
        <family val="1"/>
      </rPr>
      <t xml:space="preserve">2. </t>
    </r>
    <r>
      <rPr>
        <sz val="12"/>
        <rFont val="標楷體"/>
        <family val="4"/>
        <charset val="136"/>
      </rPr>
      <t>老年一次金給付平均給付金額＝全年核付金額</t>
    </r>
    <r>
      <rPr>
        <sz val="12"/>
        <rFont val="Times New Roman"/>
        <family val="1"/>
      </rPr>
      <t xml:space="preserve"> ÷</t>
    </r>
    <r>
      <rPr>
        <sz val="12"/>
        <rFont val="標楷體"/>
        <family val="4"/>
        <charset val="136"/>
      </rPr>
      <t>全年核付件數。</t>
    </r>
    <phoneticPr fontId="14" type="noConversion"/>
  </si>
  <si>
    <r>
      <t>111</t>
    </r>
    <r>
      <rPr>
        <sz val="12"/>
        <rFont val="細明體"/>
        <family val="3"/>
        <charset val="136"/>
      </rPr>
      <t>年</t>
    </r>
    <phoneticPr fontId="14" type="noConversion"/>
  </si>
  <si>
    <r>
      <rPr>
        <sz val="12"/>
        <rFont val="標楷體"/>
        <family val="4"/>
        <charset val="136"/>
      </rPr>
      <t>註：</t>
    </r>
    <r>
      <rPr>
        <sz val="12"/>
        <rFont val="Times New Roman"/>
        <family val="1"/>
      </rPr>
      <t xml:space="preserve">1. </t>
    </r>
    <r>
      <rPr>
        <sz val="12"/>
        <rFont val="標楷體"/>
        <family val="4"/>
        <charset val="136"/>
      </rPr>
      <t>老年年金給付係指被保險人年滿</t>
    </r>
    <r>
      <rPr>
        <sz val="12"/>
        <rFont val="Times New Roman"/>
        <family val="1"/>
      </rPr>
      <t>60</t>
    </r>
    <r>
      <rPr>
        <sz val="12"/>
        <rFont val="標楷體"/>
        <family val="4"/>
        <charset val="136"/>
      </rPr>
      <t>歲，保險年資合計滿</t>
    </r>
    <r>
      <rPr>
        <sz val="12"/>
        <rFont val="Times New Roman"/>
        <family val="1"/>
      </rPr>
      <t>15</t>
    </r>
    <r>
      <rPr>
        <sz val="12"/>
        <rFont val="標楷體"/>
        <family val="4"/>
        <charset val="136"/>
      </rPr>
      <t>年，並辦理離職退保者。請領年齡
　　　自</t>
    </r>
    <r>
      <rPr>
        <sz val="12"/>
        <rFont val="Times New Roman"/>
        <family val="1"/>
      </rPr>
      <t>107</t>
    </r>
    <r>
      <rPr>
        <sz val="12"/>
        <rFont val="標楷體"/>
        <family val="4"/>
        <charset val="136"/>
      </rPr>
      <t>年提高為</t>
    </r>
    <r>
      <rPr>
        <sz val="12"/>
        <rFont val="Times New Roman"/>
        <family val="1"/>
      </rPr>
      <t>61</t>
    </r>
    <r>
      <rPr>
        <sz val="12"/>
        <rFont val="標楷體"/>
        <family val="4"/>
        <charset val="136"/>
      </rPr>
      <t>歲，</t>
    </r>
    <r>
      <rPr>
        <sz val="12"/>
        <rFont val="Times New Roman"/>
        <family val="1"/>
      </rPr>
      <t>109</t>
    </r>
    <r>
      <rPr>
        <sz val="12"/>
        <rFont val="標楷體"/>
        <family val="4"/>
        <charset val="136"/>
      </rPr>
      <t>年為</t>
    </r>
    <r>
      <rPr>
        <sz val="12"/>
        <rFont val="Times New Roman"/>
        <family val="1"/>
      </rPr>
      <t>62</t>
    </r>
    <r>
      <rPr>
        <sz val="12"/>
        <rFont val="標楷體"/>
        <family val="4"/>
        <charset val="136"/>
      </rPr>
      <t>歲，</t>
    </r>
    <r>
      <rPr>
        <sz val="12"/>
        <rFont val="Times New Roman"/>
        <family val="1"/>
      </rPr>
      <t>111</t>
    </r>
    <r>
      <rPr>
        <sz val="12"/>
        <rFont val="標楷體"/>
        <family val="4"/>
        <charset val="136"/>
      </rPr>
      <t>年為</t>
    </r>
    <r>
      <rPr>
        <sz val="12"/>
        <rFont val="Times New Roman"/>
        <family val="1"/>
      </rPr>
      <t>63</t>
    </r>
    <r>
      <rPr>
        <sz val="12"/>
        <rFont val="標楷體"/>
        <family val="4"/>
        <charset val="136"/>
      </rPr>
      <t>歲，</t>
    </r>
    <r>
      <rPr>
        <sz val="12"/>
        <rFont val="Times New Roman"/>
        <family val="1"/>
      </rPr>
      <t>113</t>
    </r>
    <r>
      <rPr>
        <sz val="12"/>
        <rFont val="標楷體"/>
        <family val="4"/>
        <charset val="136"/>
      </rPr>
      <t>年為</t>
    </r>
    <r>
      <rPr>
        <sz val="12"/>
        <rFont val="Times New Roman"/>
        <family val="1"/>
      </rPr>
      <t>64</t>
    </r>
    <r>
      <rPr>
        <sz val="12"/>
        <rFont val="標楷體"/>
        <family val="4"/>
        <charset val="136"/>
      </rPr>
      <t>歲，</t>
    </r>
    <r>
      <rPr>
        <sz val="12"/>
        <rFont val="Times New Roman"/>
        <family val="1"/>
      </rPr>
      <t>115</t>
    </r>
    <r>
      <rPr>
        <sz val="12"/>
        <rFont val="標楷體"/>
        <family val="4"/>
        <charset val="136"/>
      </rPr>
      <t>年以後為</t>
    </r>
    <r>
      <rPr>
        <sz val="12"/>
        <rFont val="Times New Roman"/>
        <family val="1"/>
      </rPr>
      <t>65</t>
    </r>
    <r>
      <rPr>
        <sz val="12"/>
        <rFont val="標楷體"/>
        <family val="4"/>
        <charset val="136"/>
      </rPr>
      <t>歲。依下列</t>
    </r>
    <r>
      <rPr>
        <sz val="12"/>
        <rFont val="Times New Roman"/>
        <family val="1"/>
      </rPr>
      <t xml:space="preserve">
</t>
    </r>
    <r>
      <rPr>
        <sz val="12"/>
        <rFont val="標楷體"/>
        <family val="4"/>
        <charset val="136"/>
      </rPr>
      <t>　　　</t>
    </r>
    <r>
      <rPr>
        <sz val="12"/>
        <rFont val="Times New Roman"/>
        <family val="1"/>
      </rPr>
      <t>2</t>
    </r>
    <r>
      <rPr>
        <sz val="12"/>
        <rFont val="標楷體"/>
        <family val="4"/>
        <charset val="136"/>
      </rPr>
      <t>種方式擇優發給：</t>
    </r>
    <r>
      <rPr>
        <sz val="12"/>
        <rFont val="Times New Roman"/>
        <family val="1"/>
      </rPr>
      <t>(1)</t>
    </r>
    <r>
      <rPr>
        <sz val="12"/>
        <rFont val="標楷體"/>
        <family val="4"/>
        <charset val="136"/>
      </rPr>
      <t>平均月投保薪資</t>
    </r>
    <r>
      <rPr>
        <sz val="12"/>
        <rFont val="Times New Roman"/>
        <family val="1"/>
      </rPr>
      <t>×</t>
    </r>
    <r>
      <rPr>
        <sz val="12"/>
        <rFont val="標楷體"/>
        <family val="4"/>
        <charset val="136"/>
      </rPr>
      <t>年資</t>
    </r>
    <r>
      <rPr>
        <sz val="12"/>
        <rFont val="Times New Roman"/>
        <family val="1"/>
      </rPr>
      <t>×0.775%+3,000</t>
    </r>
    <r>
      <rPr>
        <sz val="12"/>
        <rFont val="標楷體"/>
        <family val="4"/>
        <charset val="136"/>
      </rPr>
      <t>元；</t>
    </r>
    <r>
      <rPr>
        <sz val="12"/>
        <rFont val="Times New Roman"/>
        <family val="1"/>
      </rPr>
      <t>(2)</t>
    </r>
    <r>
      <rPr>
        <sz val="12"/>
        <rFont val="標楷體"/>
        <family val="4"/>
        <charset val="136"/>
      </rPr>
      <t>平均月投保薪資</t>
    </r>
    <r>
      <rPr>
        <sz val="12"/>
        <rFont val="Times New Roman"/>
        <family val="1"/>
      </rPr>
      <t>×</t>
    </r>
    <r>
      <rPr>
        <sz val="12"/>
        <rFont val="標楷體"/>
        <family val="4"/>
        <charset val="136"/>
      </rPr>
      <t>年資</t>
    </r>
    <r>
      <rPr>
        <sz val="12"/>
        <rFont val="Times New Roman"/>
        <family val="1"/>
      </rPr>
      <t xml:space="preserve">×
</t>
    </r>
    <r>
      <rPr>
        <sz val="12"/>
        <rFont val="標楷體"/>
        <family val="4"/>
        <charset val="136"/>
      </rPr>
      <t>　　　</t>
    </r>
    <r>
      <rPr>
        <sz val="12"/>
        <rFont val="Times New Roman"/>
        <family val="1"/>
      </rPr>
      <t>1.55%</t>
    </r>
    <r>
      <rPr>
        <sz val="12"/>
        <rFont val="標楷體"/>
        <family val="4"/>
        <charset val="136"/>
      </rPr>
      <t>；平均月投保薪資按加保期間最高</t>
    </r>
    <r>
      <rPr>
        <sz val="12"/>
        <rFont val="Times New Roman"/>
        <family val="1"/>
      </rPr>
      <t>60</t>
    </r>
    <r>
      <rPr>
        <sz val="12"/>
        <rFont val="標楷體"/>
        <family val="4"/>
        <charset val="136"/>
      </rPr>
      <t>個月之月投保薪資平均計算。未達請領年齡而提前
　　　請領者，每提前</t>
    </r>
    <r>
      <rPr>
        <sz val="12"/>
        <rFont val="Times New Roman"/>
        <family val="1"/>
      </rPr>
      <t>1</t>
    </r>
    <r>
      <rPr>
        <sz val="12"/>
        <rFont val="標楷體"/>
        <family val="4"/>
        <charset val="136"/>
      </rPr>
      <t>年按給付金額減給</t>
    </r>
    <r>
      <rPr>
        <sz val="12"/>
        <rFont val="Times New Roman"/>
        <family val="1"/>
      </rPr>
      <t>4%</t>
    </r>
    <r>
      <rPr>
        <sz val="12"/>
        <rFont val="標楷體"/>
        <family val="4"/>
        <charset val="136"/>
      </rPr>
      <t>，最多提前</t>
    </r>
    <r>
      <rPr>
        <sz val="12"/>
        <rFont val="Times New Roman"/>
        <family val="1"/>
      </rPr>
      <t>5</t>
    </r>
    <r>
      <rPr>
        <sz val="12"/>
        <rFont val="標楷體"/>
        <family val="4"/>
        <charset val="136"/>
      </rPr>
      <t>年減給</t>
    </r>
    <r>
      <rPr>
        <sz val="12"/>
        <rFont val="Times New Roman"/>
        <family val="1"/>
      </rPr>
      <t>20%</t>
    </r>
    <r>
      <rPr>
        <sz val="12"/>
        <rFont val="標楷體"/>
        <family val="4"/>
        <charset val="136"/>
      </rPr>
      <t>；符合老年年金給付請領年齡
　　　而延後請領者，每延後</t>
    </r>
    <r>
      <rPr>
        <sz val="12"/>
        <rFont val="Times New Roman"/>
        <family val="1"/>
      </rPr>
      <t>1</t>
    </r>
    <r>
      <rPr>
        <sz val="12"/>
        <rFont val="標楷體"/>
        <family val="4"/>
        <charset val="136"/>
      </rPr>
      <t>年按給付金額增給</t>
    </r>
    <r>
      <rPr>
        <sz val="12"/>
        <rFont val="Times New Roman"/>
        <family val="1"/>
      </rPr>
      <t>4%</t>
    </r>
    <r>
      <rPr>
        <sz val="12"/>
        <rFont val="標楷體"/>
        <family val="4"/>
        <charset val="136"/>
      </rPr>
      <t>，最多增給</t>
    </r>
    <r>
      <rPr>
        <sz val="12"/>
        <rFont val="Times New Roman"/>
        <family val="1"/>
      </rPr>
      <t>20%</t>
    </r>
    <r>
      <rPr>
        <sz val="12"/>
        <rFont val="標楷體"/>
        <family val="4"/>
        <charset val="136"/>
      </rPr>
      <t>。
　　</t>
    </r>
    <r>
      <rPr>
        <sz val="12"/>
        <rFont val="Times New Roman"/>
        <family val="1"/>
      </rPr>
      <t xml:space="preserve">2. </t>
    </r>
    <r>
      <rPr>
        <sz val="12"/>
        <rFont val="標楷體"/>
        <family val="4"/>
        <charset val="136"/>
      </rPr>
      <t>老年年金給付平均月領金額＝全年核付金額</t>
    </r>
    <r>
      <rPr>
        <sz val="12"/>
        <rFont val="Times New Roman"/>
        <family val="1"/>
      </rPr>
      <t>÷</t>
    </r>
    <r>
      <rPr>
        <sz val="12"/>
        <rFont val="標楷體"/>
        <family val="4"/>
        <charset val="136"/>
      </rPr>
      <t>平均核付人數</t>
    </r>
    <r>
      <rPr>
        <sz val="12"/>
        <rFont val="Times New Roman"/>
        <family val="1"/>
      </rPr>
      <t>÷12</t>
    </r>
    <r>
      <rPr>
        <sz val="12"/>
        <rFont val="標楷體"/>
        <family val="4"/>
        <charset val="136"/>
      </rPr>
      <t>。
　　</t>
    </r>
    <r>
      <rPr>
        <sz val="12"/>
        <rFont val="Times New Roman"/>
        <family val="1"/>
      </rPr>
      <t xml:space="preserve">3. </t>
    </r>
    <r>
      <rPr>
        <sz val="12"/>
        <rFont val="標楷體"/>
        <family val="4"/>
        <charset val="136"/>
      </rPr>
      <t>本表部分數字因四捨五入關係，部分總計數字容不等於細項數字之和。</t>
    </r>
    <phoneticPr fontId="14" type="noConversion"/>
  </si>
  <si>
    <r>
      <rPr>
        <sz val="12"/>
        <rFont val="標楷體"/>
        <family val="4"/>
        <charset val="136"/>
      </rPr>
      <t>註：</t>
    </r>
    <r>
      <rPr>
        <sz val="12"/>
        <rFont val="Times New Roman"/>
        <family val="1"/>
      </rPr>
      <t xml:space="preserve">1. </t>
    </r>
    <r>
      <rPr>
        <sz val="12"/>
        <rFont val="標楷體"/>
        <family val="4"/>
        <charset val="136"/>
      </rPr>
      <t>一次請領老年給付係指被保險人於</t>
    </r>
    <r>
      <rPr>
        <sz val="12"/>
        <rFont val="Times New Roman"/>
        <family val="1"/>
      </rPr>
      <t>97</t>
    </r>
    <r>
      <rPr>
        <sz val="12"/>
        <rFont val="標楷體"/>
        <family val="4"/>
        <charset val="136"/>
      </rPr>
      <t>年</t>
    </r>
    <r>
      <rPr>
        <sz val="12"/>
        <rFont val="Times New Roman"/>
        <family val="1"/>
      </rPr>
      <t>12</t>
    </r>
    <r>
      <rPr>
        <sz val="12"/>
        <rFont val="標楷體"/>
        <family val="4"/>
        <charset val="136"/>
      </rPr>
      <t>月</t>
    </r>
    <r>
      <rPr>
        <sz val="12"/>
        <rFont val="Times New Roman"/>
        <family val="1"/>
      </rPr>
      <t>31</t>
    </r>
    <r>
      <rPr>
        <sz val="12"/>
        <rFont val="標楷體"/>
        <family val="4"/>
        <charset val="136"/>
      </rPr>
      <t>日前有保險年資者，於符合請領資格時，得選擇
　　　一次請領老年給付。給付金額＝平均月投保薪資</t>
    </r>
    <r>
      <rPr>
        <sz val="9"/>
        <rFont val="Times New Roman"/>
        <family val="1"/>
      </rPr>
      <t xml:space="preserve"> × </t>
    </r>
    <r>
      <rPr>
        <sz val="12"/>
        <rFont val="標楷體"/>
        <family val="4"/>
        <charset val="136"/>
      </rPr>
      <t>給付月數。平均月投保薪資按退保當月起前
　　　</t>
    </r>
    <r>
      <rPr>
        <sz val="12"/>
        <rFont val="Times New Roman"/>
        <family val="1"/>
      </rPr>
      <t>3</t>
    </r>
    <r>
      <rPr>
        <sz val="12"/>
        <rFont val="標楷體"/>
        <family val="4"/>
        <charset val="136"/>
      </rPr>
      <t>年之實際月投保薪資平均計算；給付月數按保險年資計算，保險年資合計每滿</t>
    </r>
    <r>
      <rPr>
        <sz val="12"/>
        <rFont val="Times New Roman"/>
        <family val="1"/>
      </rPr>
      <t>1</t>
    </r>
    <r>
      <rPr>
        <sz val="12"/>
        <rFont val="標楷體"/>
        <family val="4"/>
        <charset val="136"/>
      </rPr>
      <t>年發給</t>
    </r>
    <r>
      <rPr>
        <sz val="12"/>
        <rFont val="Times New Roman"/>
        <family val="1"/>
      </rPr>
      <t>1</t>
    </r>
    <r>
      <rPr>
        <sz val="12"/>
        <rFont val="標楷體"/>
        <family val="4"/>
        <charset val="136"/>
      </rPr>
      <t>個月，
　　　保險年資合計超過</t>
    </r>
    <r>
      <rPr>
        <sz val="12"/>
        <rFont val="Times New Roman"/>
        <family val="1"/>
      </rPr>
      <t>15</t>
    </r>
    <r>
      <rPr>
        <sz val="12"/>
        <rFont val="標楷體"/>
        <family val="4"/>
        <charset val="136"/>
      </rPr>
      <t>年者，每滿</t>
    </r>
    <r>
      <rPr>
        <sz val="12"/>
        <rFont val="Times New Roman"/>
        <family val="1"/>
      </rPr>
      <t>1</t>
    </r>
    <r>
      <rPr>
        <sz val="12"/>
        <rFont val="標楷體"/>
        <family val="4"/>
        <charset val="136"/>
      </rPr>
      <t>年發給</t>
    </r>
    <r>
      <rPr>
        <sz val="12"/>
        <rFont val="Times New Roman"/>
        <family val="1"/>
      </rPr>
      <t>2</t>
    </r>
    <r>
      <rPr>
        <sz val="12"/>
        <rFont val="標楷體"/>
        <family val="4"/>
        <charset val="136"/>
      </rPr>
      <t>個月。
　　</t>
    </r>
    <r>
      <rPr>
        <sz val="12"/>
        <rFont val="Times New Roman"/>
        <family val="1"/>
      </rPr>
      <t xml:space="preserve">2. </t>
    </r>
    <r>
      <rPr>
        <sz val="12"/>
        <rFont val="標楷體"/>
        <family val="4"/>
        <charset val="136"/>
      </rPr>
      <t>一次請領老年給付平均給付金額＝全年核付金額</t>
    </r>
    <r>
      <rPr>
        <sz val="12"/>
        <rFont val="Times New Roman"/>
        <family val="1"/>
      </rPr>
      <t>÷</t>
    </r>
    <r>
      <rPr>
        <sz val="12"/>
        <rFont val="標楷體"/>
        <family val="4"/>
        <charset val="136"/>
      </rPr>
      <t>全年核付件數。</t>
    </r>
    <phoneticPr fontId="14" type="noConversion"/>
  </si>
  <si>
    <r>
      <rPr>
        <sz val="12"/>
        <rFont val="標楷體"/>
        <family val="4"/>
        <charset val="136"/>
      </rPr>
      <t>註：</t>
    </r>
    <r>
      <rPr>
        <sz val="12"/>
        <rFont val="Times New Roman"/>
        <family val="1"/>
      </rPr>
      <t xml:space="preserve">1. </t>
    </r>
    <r>
      <rPr>
        <sz val="12"/>
        <rFont val="標楷體"/>
        <family val="4"/>
        <charset val="136"/>
      </rPr>
      <t>老年一次金給付係指被保險人年滿</t>
    </r>
    <r>
      <rPr>
        <sz val="12"/>
        <rFont val="Times New Roman"/>
        <family val="1"/>
      </rPr>
      <t>60</t>
    </r>
    <r>
      <rPr>
        <sz val="12"/>
        <rFont val="標楷體"/>
        <family val="4"/>
        <charset val="136"/>
      </rPr>
      <t>歲，保險年資合計未滿</t>
    </r>
    <r>
      <rPr>
        <sz val="12"/>
        <rFont val="Times New Roman"/>
        <family val="1"/>
      </rPr>
      <t>15</t>
    </r>
    <r>
      <rPr>
        <sz val="12"/>
        <rFont val="標楷體"/>
        <family val="4"/>
        <charset val="136"/>
      </rPr>
      <t>年，並辦理離職退保者。請領年
　　　齡自</t>
    </r>
    <r>
      <rPr>
        <sz val="12"/>
        <rFont val="Times New Roman"/>
        <family val="1"/>
      </rPr>
      <t>107</t>
    </r>
    <r>
      <rPr>
        <sz val="12"/>
        <rFont val="標楷體"/>
        <family val="4"/>
        <charset val="136"/>
      </rPr>
      <t>年提高為</t>
    </r>
    <r>
      <rPr>
        <sz val="12"/>
        <rFont val="Times New Roman"/>
        <family val="1"/>
      </rPr>
      <t>61</t>
    </r>
    <r>
      <rPr>
        <sz val="12"/>
        <rFont val="標楷體"/>
        <family val="4"/>
        <charset val="136"/>
      </rPr>
      <t>歲，</t>
    </r>
    <r>
      <rPr>
        <sz val="12"/>
        <rFont val="Times New Roman"/>
        <family val="1"/>
      </rPr>
      <t>109</t>
    </r>
    <r>
      <rPr>
        <sz val="12"/>
        <rFont val="標楷體"/>
        <family val="4"/>
        <charset val="136"/>
      </rPr>
      <t>年為</t>
    </r>
    <r>
      <rPr>
        <sz val="12"/>
        <rFont val="Times New Roman"/>
        <family val="1"/>
      </rPr>
      <t>62</t>
    </r>
    <r>
      <rPr>
        <sz val="12"/>
        <rFont val="標楷體"/>
        <family val="4"/>
        <charset val="136"/>
      </rPr>
      <t>歲，</t>
    </r>
    <r>
      <rPr>
        <sz val="12"/>
        <rFont val="Times New Roman"/>
        <family val="1"/>
      </rPr>
      <t>111</t>
    </r>
    <r>
      <rPr>
        <sz val="12"/>
        <rFont val="標楷體"/>
        <family val="4"/>
        <charset val="136"/>
      </rPr>
      <t>年為</t>
    </r>
    <r>
      <rPr>
        <sz val="12"/>
        <rFont val="Times New Roman"/>
        <family val="1"/>
      </rPr>
      <t>63</t>
    </r>
    <r>
      <rPr>
        <sz val="12"/>
        <rFont val="標楷體"/>
        <family val="4"/>
        <charset val="136"/>
      </rPr>
      <t>歲，</t>
    </r>
    <r>
      <rPr>
        <sz val="12"/>
        <rFont val="Times New Roman"/>
        <family val="1"/>
      </rPr>
      <t>113</t>
    </r>
    <r>
      <rPr>
        <sz val="12"/>
        <rFont val="標楷體"/>
        <family val="4"/>
        <charset val="136"/>
      </rPr>
      <t>年為</t>
    </r>
    <r>
      <rPr>
        <sz val="12"/>
        <rFont val="Times New Roman"/>
        <family val="1"/>
      </rPr>
      <t>64</t>
    </r>
    <r>
      <rPr>
        <sz val="12"/>
        <rFont val="標楷體"/>
        <family val="4"/>
        <charset val="136"/>
      </rPr>
      <t>歲，</t>
    </r>
    <r>
      <rPr>
        <sz val="12"/>
        <rFont val="Times New Roman"/>
        <family val="1"/>
      </rPr>
      <t>115</t>
    </r>
    <r>
      <rPr>
        <sz val="12"/>
        <rFont val="標楷體"/>
        <family val="4"/>
        <charset val="136"/>
      </rPr>
      <t>年以後為</t>
    </r>
    <r>
      <rPr>
        <sz val="12"/>
        <rFont val="Times New Roman"/>
        <family val="1"/>
      </rPr>
      <t>65</t>
    </r>
    <r>
      <rPr>
        <sz val="12"/>
        <rFont val="標楷體"/>
        <family val="4"/>
        <charset val="136"/>
      </rPr>
      <t>歲。給付金
　　　額＝平均月投保薪資</t>
    </r>
    <r>
      <rPr>
        <sz val="12"/>
        <rFont val="Times New Roman"/>
        <family val="1"/>
      </rPr>
      <t xml:space="preserve"> × </t>
    </r>
    <r>
      <rPr>
        <sz val="12"/>
        <rFont val="標楷體"/>
        <family val="4"/>
        <charset val="136"/>
      </rPr>
      <t>給付月數。平均月投保薪資按加保期間最高</t>
    </r>
    <r>
      <rPr>
        <sz val="12"/>
        <rFont val="Times New Roman"/>
        <family val="1"/>
      </rPr>
      <t>60</t>
    </r>
    <r>
      <rPr>
        <sz val="12"/>
        <rFont val="標楷體"/>
        <family val="4"/>
        <charset val="136"/>
      </rPr>
      <t>個月之月投保薪資平均計
　　　算；給付月數按保險年資計算，保險年資合計每滿</t>
    </r>
    <r>
      <rPr>
        <sz val="12"/>
        <rFont val="Times New Roman"/>
        <family val="1"/>
      </rPr>
      <t>1</t>
    </r>
    <r>
      <rPr>
        <sz val="12"/>
        <rFont val="標楷體"/>
        <family val="4"/>
        <charset val="136"/>
      </rPr>
      <t>年發給</t>
    </r>
    <r>
      <rPr>
        <sz val="12"/>
        <rFont val="Times New Roman"/>
        <family val="1"/>
      </rPr>
      <t>1</t>
    </r>
    <r>
      <rPr>
        <sz val="12"/>
        <rFont val="標楷體"/>
        <family val="4"/>
        <charset val="136"/>
      </rPr>
      <t>個月。
　　</t>
    </r>
    <r>
      <rPr>
        <sz val="12"/>
        <rFont val="Times New Roman"/>
        <family val="1"/>
      </rPr>
      <t xml:space="preserve">2. </t>
    </r>
    <r>
      <rPr>
        <sz val="12"/>
        <rFont val="標楷體"/>
        <family val="4"/>
        <charset val="136"/>
      </rPr>
      <t>老年一次金給付平均給付金額＝全年核付金額</t>
    </r>
    <r>
      <rPr>
        <sz val="12"/>
        <rFont val="Times New Roman"/>
        <family val="1"/>
      </rPr>
      <t>÷</t>
    </r>
    <r>
      <rPr>
        <sz val="12"/>
        <rFont val="標楷體"/>
        <family val="4"/>
        <charset val="136"/>
      </rPr>
      <t>全年核付件數。</t>
    </r>
    <phoneticPr fontId="14" type="noConversion"/>
  </si>
  <si>
    <r>
      <rPr>
        <sz val="12"/>
        <rFont val="標楷體"/>
        <family val="4"/>
        <charset val="136"/>
      </rPr>
      <t>註：</t>
    </r>
    <r>
      <rPr>
        <sz val="12"/>
        <rFont val="Times New Roman"/>
        <family val="1"/>
      </rPr>
      <t xml:space="preserve">1. </t>
    </r>
    <r>
      <rPr>
        <sz val="12"/>
        <rFont val="標楷體"/>
        <family val="4"/>
        <charset val="136"/>
      </rPr>
      <t>老年差額金給付係指被保險人領取老年年金期間死亡，且於勞保年金開辦前有保險年資，得由
　　　符合規定之遺屬，選擇請領「一次請領老年給付扣除已領年金給付總額之差額」。
　　</t>
    </r>
    <r>
      <rPr>
        <sz val="12"/>
        <rFont val="Times New Roman"/>
        <family val="1"/>
      </rPr>
      <t xml:space="preserve">2. </t>
    </r>
    <r>
      <rPr>
        <sz val="12"/>
        <rFont val="標楷體"/>
        <family val="4"/>
        <charset val="136"/>
      </rPr>
      <t>老年差額金給付平均給付金額＝全年核付金額</t>
    </r>
    <r>
      <rPr>
        <sz val="12"/>
        <rFont val="Times New Roman"/>
        <family val="1"/>
      </rPr>
      <t>÷</t>
    </r>
    <r>
      <rPr>
        <sz val="12"/>
        <rFont val="標楷體"/>
        <family val="4"/>
        <charset val="136"/>
      </rPr>
      <t>全年核付件數。</t>
    </r>
    <phoneticPr fontId="14" type="noConversion"/>
  </si>
  <si>
    <r>
      <t>112</t>
    </r>
    <r>
      <rPr>
        <sz val="12"/>
        <rFont val="細明體"/>
        <family val="3"/>
        <charset val="136"/>
      </rPr>
      <t>年</t>
    </r>
    <phoneticPr fontId="14" type="noConversion"/>
  </si>
  <si>
    <r>
      <rPr>
        <sz val="12"/>
        <rFont val="標楷體"/>
        <family val="4"/>
        <charset val="136"/>
      </rPr>
      <t>註：</t>
    </r>
    <r>
      <rPr>
        <sz val="12"/>
        <rFont val="Times New Roman"/>
        <family val="1"/>
      </rPr>
      <t xml:space="preserve">1. </t>
    </r>
    <r>
      <rPr>
        <sz val="12"/>
        <rFont val="標楷體"/>
        <family val="4"/>
        <charset val="136"/>
      </rPr>
      <t>老年一次金給付係指被保險人年滿</t>
    </r>
    <r>
      <rPr>
        <sz val="12"/>
        <rFont val="Times New Roman"/>
        <family val="1"/>
      </rPr>
      <t>60</t>
    </r>
    <r>
      <rPr>
        <sz val="12"/>
        <rFont val="標楷體"/>
        <family val="4"/>
        <charset val="136"/>
      </rPr>
      <t>歲，保險年資合計未滿</t>
    </r>
    <r>
      <rPr>
        <sz val="12"/>
        <rFont val="Times New Roman"/>
        <family val="1"/>
      </rPr>
      <t>15</t>
    </r>
    <r>
      <rPr>
        <sz val="12"/>
        <rFont val="標楷體"/>
        <family val="4"/>
        <charset val="136"/>
      </rPr>
      <t>年，並辦理離職退保者。請領年</t>
    </r>
    <r>
      <rPr>
        <sz val="12"/>
        <rFont val="Times New Roman"/>
        <family val="4"/>
      </rPr>
      <t xml:space="preserve">
</t>
    </r>
    <r>
      <rPr>
        <sz val="12"/>
        <rFont val="標楷體"/>
        <family val="4"/>
        <charset val="136"/>
      </rPr>
      <t>　　　齡自</t>
    </r>
    <r>
      <rPr>
        <sz val="12"/>
        <rFont val="Times New Roman"/>
        <family val="1"/>
      </rPr>
      <t>107</t>
    </r>
    <r>
      <rPr>
        <sz val="12"/>
        <rFont val="標楷體"/>
        <family val="4"/>
        <charset val="136"/>
      </rPr>
      <t>年提高為</t>
    </r>
    <r>
      <rPr>
        <sz val="12"/>
        <rFont val="Times New Roman"/>
        <family val="1"/>
      </rPr>
      <t>61</t>
    </r>
    <r>
      <rPr>
        <sz val="12"/>
        <rFont val="標楷體"/>
        <family val="4"/>
        <charset val="136"/>
      </rPr>
      <t>歲，</t>
    </r>
    <r>
      <rPr>
        <sz val="12"/>
        <rFont val="Times New Roman"/>
        <family val="1"/>
      </rPr>
      <t>109</t>
    </r>
    <r>
      <rPr>
        <sz val="12"/>
        <rFont val="標楷體"/>
        <family val="4"/>
        <charset val="136"/>
      </rPr>
      <t>年為</t>
    </r>
    <r>
      <rPr>
        <sz val="12"/>
        <rFont val="Times New Roman"/>
        <family val="1"/>
      </rPr>
      <t>62</t>
    </r>
    <r>
      <rPr>
        <sz val="12"/>
        <rFont val="標楷體"/>
        <family val="4"/>
        <charset val="136"/>
      </rPr>
      <t>歲，</t>
    </r>
    <r>
      <rPr>
        <sz val="12"/>
        <rFont val="Times New Roman"/>
        <family val="1"/>
      </rPr>
      <t>111</t>
    </r>
    <r>
      <rPr>
        <sz val="12"/>
        <rFont val="標楷體"/>
        <family val="4"/>
        <charset val="136"/>
      </rPr>
      <t>年為</t>
    </r>
    <r>
      <rPr>
        <sz val="12"/>
        <rFont val="Times New Roman"/>
        <family val="1"/>
      </rPr>
      <t>63</t>
    </r>
    <r>
      <rPr>
        <sz val="12"/>
        <rFont val="標楷體"/>
        <family val="4"/>
        <charset val="136"/>
      </rPr>
      <t>歲，</t>
    </r>
    <r>
      <rPr>
        <sz val="12"/>
        <rFont val="Times New Roman"/>
        <family val="1"/>
      </rPr>
      <t>113</t>
    </r>
    <r>
      <rPr>
        <sz val="12"/>
        <rFont val="標楷體"/>
        <family val="4"/>
        <charset val="136"/>
      </rPr>
      <t>年為</t>
    </r>
    <r>
      <rPr>
        <sz val="12"/>
        <rFont val="Times New Roman"/>
        <family val="1"/>
      </rPr>
      <t>64</t>
    </r>
    <r>
      <rPr>
        <sz val="12"/>
        <rFont val="標楷體"/>
        <family val="4"/>
        <charset val="136"/>
      </rPr>
      <t>歲，</t>
    </r>
    <r>
      <rPr>
        <sz val="12"/>
        <rFont val="Times New Roman"/>
        <family val="1"/>
      </rPr>
      <t>115</t>
    </r>
    <r>
      <rPr>
        <sz val="12"/>
        <rFont val="標楷體"/>
        <family val="4"/>
        <charset val="136"/>
      </rPr>
      <t>年以後為</t>
    </r>
    <r>
      <rPr>
        <sz val="12"/>
        <rFont val="Times New Roman"/>
        <family val="1"/>
      </rPr>
      <t>65</t>
    </r>
    <r>
      <rPr>
        <sz val="12"/>
        <rFont val="標楷體"/>
        <family val="4"/>
        <charset val="136"/>
      </rPr>
      <t>歲。給付金</t>
    </r>
    <r>
      <rPr>
        <sz val="12"/>
        <rFont val="Times New Roman"/>
        <family val="4"/>
      </rPr>
      <t xml:space="preserve">
</t>
    </r>
    <r>
      <rPr>
        <sz val="12"/>
        <rFont val="標楷體"/>
        <family val="4"/>
        <charset val="136"/>
      </rPr>
      <t>　　　額＝平均月投保薪資</t>
    </r>
    <r>
      <rPr>
        <sz val="12"/>
        <rFont val="Times New Roman"/>
        <family val="1"/>
      </rPr>
      <t xml:space="preserve"> × </t>
    </r>
    <r>
      <rPr>
        <sz val="12"/>
        <rFont val="標楷體"/>
        <family val="4"/>
        <charset val="136"/>
      </rPr>
      <t>給付月數。平均月投保薪資按加保期間最高</t>
    </r>
    <r>
      <rPr>
        <sz val="12"/>
        <rFont val="Times New Roman"/>
        <family val="1"/>
      </rPr>
      <t>60</t>
    </r>
    <r>
      <rPr>
        <sz val="12"/>
        <rFont val="標楷體"/>
        <family val="4"/>
        <charset val="136"/>
      </rPr>
      <t>個月之月投保薪資平均計</t>
    </r>
    <r>
      <rPr>
        <sz val="12"/>
        <rFont val="Times New Roman"/>
        <family val="4"/>
      </rPr>
      <t xml:space="preserve">
</t>
    </r>
    <r>
      <rPr>
        <sz val="12"/>
        <rFont val="標楷體"/>
        <family val="4"/>
        <charset val="136"/>
      </rPr>
      <t>　　　算；給付月數按保險年資計算，保險年資合計每滿</t>
    </r>
    <r>
      <rPr>
        <sz val="12"/>
        <rFont val="Times New Roman"/>
        <family val="1"/>
      </rPr>
      <t>1</t>
    </r>
    <r>
      <rPr>
        <sz val="12"/>
        <rFont val="標楷體"/>
        <family val="4"/>
        <charset val="136"/>
      </rPr>
      <t>年發給</t>
    </r>
    <r>
      <rPr>
        <sz val="12"/>
        <rFont val="Times New Roman"/>
        <family val="1"/>
      </rPr>
      <t>1</t>
    </r>
    <r>
      <rPr>
        <sz val="12"/>
        <rFont val="標楷體"/>
        <family val="4"/>
        <charset val="136"/>
      </rPr>
      <t>個月。</t>
    </r>
    <r>
      <rPr>
        <sz val="12"/>
        <rFont val="Times New Roman"/>
        <family val="4"/>
      </rPr>
      <t xml:space="preserve">
</t>
    </r>
    <r>
      <rPr>
        <sz val="12"/>
        <rFont val="標楷體"/>
        <family val="4"/>
        <charset val="136"/>
      </rPr>
      <t>　　</t>
    </r>
    <r>
      <rPr>
        <sz val="12"/>
        <rFont val="Times New Roman"/>
        <family val="1"/>
      </rPr>
      <t xml:space="preserve">2. </t>
    </r>
    <r>
      <rPr>
        <sz val="12"/>
        <rFont val="標楷體"/>
        <family val="4"/>
        <charset val="136"/>
      </rPr>
      <t>老年一次金給付部分案件被保險人退保當時投保單位之地區不明，故本表總計包含無法歸類縣</t>
    </r>
    <r>
      <rPr>
        <sz val="12"/>
        <rFont val="Times New Roman"/>
        <family val="4"/>
      </rPr>
      <t xml:space="preserve">
</t>
    </r>
    <r>
      <rPr>
        <sz val="12"/>
        <rFont val="標楷體"/>
        <family val="4"/>
        <charset val="136"/>
      </rPr>
      <t>　　　市別之男性</t>
    </r>
    <r>
      <rPr>
        <sz val="12"/>
        <rFont val="Times New Roman"/>
        <family val="1"/>
      </rPr>
      <t>0</t>
    </r>
    <r>
      <rPr>
        <sz val="12"/>
        <rFont val="標楷體"/>
        <family val="4"/>
        <charset val="136"/>
      </rPr>
      <t>件，</t>
    </r>
    <r>
      <rPr>
        <sz val="12"/>
        <rFont val="Times New Roman"/>
        <family val="1"/>
      </rPr>
      <t>0</t>
    </r>
    <r>
      <rPr>
        <sz val="12"/>
        <rFont val="標楷體"/>
        <family val="4"/>
        <charset val="136"/>
      </rPr>
      <t>元；女性</t>
    </r>
    <r>
      <rPr>
        <sz val="12"/>
        <rFont val="Times New Roman"/>
        <family val="1"/>
      </rPr>
      <t>2</t>
    </r>
    <r>
      <rPr>
        <sz val="12"/>
        <rFont val="標楷體"/>
        <family val="4"/>
        <charset val="136"/>
      </rPr>
      <t>件，</t>
    </r>
    <r>
      <rPr>
        <sz val="12"/>
        <rFont val="Times New Roman"/>
        <family val="1"/>
      </rPr>
      <t>7,511</t>
    </r>
    <r>
      <rPr>
        <sz val="12"/>
        <rFont val="標楷體"/>
        <family val="4"/>
        <charset val="136"/>
      </rPr>
      <t>元。</t>
    </r>
    <r>
      <rPr>
        <sz val="12"/>
        <rFont val="Times New Roman"/>
        <family val="4"/>
      </rPr>
      <t xml:space="preserve">
</t>
    </r>
    <r>
      <rPr>
        <sz val="12"/>
        <rFont val="標楷體"/>
        <family val="4"/>
        <charset val="136"/>
      </rPr>
      <t>　　</t>
    </r>
    <r>
      <rPr>
        <sz val="12"/>
        <rFont val="Times New Roman"/>
        <family val="1"/>
      </rPr>
      <t xml:space="preserve">3. </t>
    </r>
    <r>
      <rPr>
        <sz val="12"/>
        <rFont val="標楷體"/>
        <family val="4"/>
        <charset val="136"/>
      </rPr>
      <t>老年一次金給付平均給付金額＝全年核付金額</t>
    </r>
    <r>
      <rPr>
        <sz val="12"/>
        <rFont val="微軟正黑體"/>
        <family val="1"/>
        <charset val="136"/>
      </rPr>
      <t>÷</t>
    </r>
    <r>
      <rPr>
        <sz val="12"/>
        <rFont val="標楷體"/>
        <family val="4"/>
        <charset val="136"/>
      </rPr>
      <t>全年核付件數。</t>
    </r>
    <phoneticPr fontId="14" type="noConversion"/>
  </si>
  <si>
    <r>
      <rPr>
        <sz val="12"/>
        <rFont val="標楷體"/>
        <family val="4"/>
        <charset val="136"/>
      </rPr>
      <t>註：</t>
    </r>
    <r>
      <rPr>
        <sz val="12"/>
        <rFont val="Times New Roman"/>
        <family val="1"/>
      </rPr>
      <t xml:space="preserve">1. </t>
    </r>
    <r>
      <rPr>
        <sz val="12"/>
        <rFont val="標楷體"/>
        <family val="4"/>
        <charset val="136"/>
      </rPr>
      <t>老年年金給付係指被保險人年滿</t>
    </r>
    <r>
      <rPr>
        <sz val="12"/>
        <rFont val="Times New Roman"/>
        <family val="1"/>
      </rPr>
      <t>60</t>
    </r>
    <r>
      <rPr>
        <sz val="12"/>
        <rFont val="標楷體"/>
        <family val="4"/>
        <charset val="136"/>
      </rPr>
      <t>歲，保險年資合計滿</t>
    </r>
    <r>
      <rPr>
        <sz val="12"/>
        <rFont val="Times New Roman"/>
        <family val="1"/>
      </rPr>
      <t>15</t>
    </r>
    <r>
      <rPr>
        <sz val="12"/>
        <rFont val="標楷體"/>
        <family val="4"/>
        <charset val="136"/>
      </rPr>
      <t>年，並辦理離職退保者。請領年齡
　　　自</t>
    </r>
    <r>
      <rPr>
        <sz val="12"/>
        <rFont val="Times New Roman"/>
        <family val="1"/>
      </rPr>
      <t>107</t>
    </r>
    <r>
      <rPr>
        <sz val="12"/>
        <rFont val="標楷體"/>
        <family val="4"/>
        <charset val="136"/>
      </rPr>
      <t>年提高為</t>
    </r>
    <r>
      <rPr>
        <sz val="12"/>
        <rFont val="Times New Roman"/>
        <family val="1"/>
      </rPr>
      <t>61</t>
    </r>
    <r>
      <rPr>
        <sz val="12"/>
        <rFont val="標楷體"/>
        <family val="4"/>
        <charset val="136"/>
      </rPr>
      <t>歲，</t>
    </r>
    <r>
      <rPr>
        <sz val="12"/>
        <rFont val="Times New Roman"/>
        <family val="1"/>
      </rPr>
      <t>109</t>
    </r>
    <r>
      <rPr>
        <sz val="12"/>
        <rFont val="標楷體"/>
        <family val="4"/>
        <charset val="136"/>
      </rPr>
      <t>年為</t>
    </r>
    <r>
      <rPr>
        <sz val="12"/>
        <rFont val="Times New Roman"/>
        <family val="1"/>
      </rPr>
      <t>62</t>
    </r>
    <r>
      <rPr>
        <sz val="12"/>
        <rFont val="標楷體"/>
        <family val="4"/>
        <charset val="136"/>
      </rPr>
      <t>歲，</t>
    </r>
    <r>
      <rPr>
        <sz val="12"/>
        <rFont val="Times New Roman"/>
        <family val="1"/>
      </rPr>
      <t>111</t>
    </r>
    <r>
      <rPr>
        <sz val="12"/>
        <rFont val="標楷體"/>
        <family val="4"/>
        <charset val="136"/>
      </rPr>
      <t>年為</t>
    </r>
    <r>
      <rPr>
        <sz val="12"/>
        <rFont val="Times New Roman"/>
        <family val="1"/>
      </rPr>
      <t>63</t>
    </r>
    <r>
      <rPr>
        <sz val="12"/>
        <rFont val="標楷體"/>
        <family val="4"/>
        <charset val="136"/>
      </rPr>
      <t>歲，</t>
    </r>
    <r>
      <rPr>
        <sz val="12"/>
        <rFont val="Times New Roman"/>
        <family val="1"/>
      </rPr>
      <t>113</t>
    </r>
    <r>
      <rPr>
        <sz val="12"/>
        <rFont val="標楷體"/>
        <family val="4"/>
        <charset val="136"/>
      </rPr>
      <t>年為</t>
    </r>
    <r>
      <rPr>
        <sz val="12"/>
        <rFont val="Times New Roman"/>
        <family val="1"/>
      </rPr>
      <t>64</t>
    </r>
    <r>
      <rPr>
        <sz val="12"/>
        <rFont val="標楷體"/>
        <family val="4"/>
        <charset val="136"/>
      </rPr>
      <t>歲，</t>
    </r>
    <r>
      <rPr>
        <sz val="12"/>
        <rFont val="Times New Roman"/>
        <family val="1"/>
      </rPr>
      <t>115</t>
    </r>
    <r>
      <rPr>
        <sz val="12"/>
        <rFont val="標楷體"/>
        <family val="4"/>
        <charset val="136"/>
      </rPr>
      <t>年以後為</t>
    </r>
    <r>
      <rPr>
        <sz val="12"/>
        <rFont val="Times New Roman"/>
        <family val="1"/>
      </rPr>
      <t>65</t>
    </r>
    <r>
      <rPr>
        <sz val="12"/>
        <rFont val="標楷體"/>
        <family val="4"/>
        <charset val="136"/>
      </rPr>
      <t>歲。依下列
　　　</t>
    </r>
    <r>
      <rPr>
        <sz val="12"/>
        <rFont val="Times New Roman"/>
        <family val="1"/>
      </rPr>
      <t>2</t>
    </r>
    <r>
      <rPr>
        <sz val="12"/>
        <rFont val="標楷體"/>
        <family val="4"/>
        <charset val="136"/>
      </rPr>
      <t>種方式擇優發給：</t>
    </r>
    <r>
      <rPr>
        <sz val="12"/>
        <rFont val="Times New Roman"/>
        <family val="1"/>
      </rPr>
      <t>(1)</t>
    </r>
    <r>
      <rPr>
        <sz val="12"/>
        <rFont val="標楷體"/>
        <family val="4"/>
        <charset val="136"/>
      </rPr>
      <t>平均月投保薪資</t>
    </r>
    <r>
      <rPr>
        <sz val="12"/>
        <rFont val="Times New Roman"/>
        <family val="1"/>
      </rPr>
      <t>×</t>
    </r>
    <r>
      <rPr>
        <sz val="12"/>
        <rFont val="標楷體"/>
        <family val="4"/>
        <charset val="136"/>
      </rPr>
      <t>年資</t>
    </r>
    <r>
      <rPr>
        <sz val="12"/>
        <rFont val="Times New Roman"/>
        <family val="1"/>
      </rPr>
      <t>×0.775%+3,000</t>
    </r>
    <r>
      <rPr>
        <sz val="12"/>
        <rFont val="標楷體"/>
        <family val="4"/>
        <charset val="136"/>
      </rPr>
      <t>元；</t>
    </r>
    <r>
      <rPr>
        <sz val="12"/>
        <rFont val="Times New Roman"/>
        <family val="1"/>
      </rPr>
      <t>(2)</t>
    </r>
    <r>
      <rPr>
        <sz val="12"/>
        <rFont val="標楷體"/>
        <family val="4"/>
        <charset val="136"/>
      </rPr>
      <t>平均月投保薪資</t>
    </r>
    <r>
      <rPr>
        <sz val="12"/>
        <rFont val="Times New Roman"/>
        <family val="1"/>
      </rPr>
      <t>×</t>
    </r>
    <r>
      <rPr>
        <sz val="12"/>
        <rFont val="標楷體"/>
        <family val="4"/>
        <charset val="136"/>
      </rPr>
      <t>年資</t>
    </r>
    <r>
      <rPr>
        <sz val="12"/>
        <rFont val="Times New Roman"/>
        <family val="1"/>
      </rPr>
      <t xml:space="preserve">×
</t>
    </r>
    <r>
      <rPr>
        <sz val="12"/>
        <rFont val="標楷體"/>
        <family val="4"/>
        <charset val="136"/>
      </rPr>
      <t>　　　</t>
    </r>
    <r>
      <rPr>
        <sz val="12"/>
        <rFont val="Times New Roman"/>
        <family val="1"/>
      </rPr>
      <t>1.55%</t>
    </r>
    <r>
      <rPr>
        <sz val="12"/>
        <rFont val="標楷體"/>
        <family val="4"/>
        <charset val="136"/>
      </rPr>
      <t>；平均月投保薪資按加保期間最高</t>
    </r>
    <r>
      <rPr>
        <sz val="12"/>
        <rFont val="Times New Roman"/>
        <family val="1"/>
      </rPr>
      <t>60</t>
    </r>
    <r>
      <rPr>
        <sz val="12"/>
        <rFont val="標楷體"/>
        <family val="4"/>
        <charset val="136"/>
      </rPr>
      <t>個月之月投保薪資平均計算。未達請領年齡而提前
　　　請領者，每提前</t>
    </r>
    <r>
      <rPr>
        <sz val="12"/>
        <rFont val="Times New Roman"/>
        <family val="1"/>
      </rPr>
      <t>1</t>
    </r>
    <r>
      <rPr>
        <sz val="12"/>
        <rFont val="標楷體"/>
        <family val="4"/>
        <charset val="136"/>
      </rPr>
      <t>年按給付金額減給</t>
    </r>
    <r>
      <rPr>
        <sz val="12"/>
        <rFont val="Times New Roman"/>
        <family val="1"/>
      </rPr>
      <t>4%</t>
    </r>
    <r>
      <rPr>
        <sz val="12"/>
        <rFont val="標楷體"/>
        <family val="4"/>
        <charset val="136"/>
      </rPr>
      <t>，最多提前</t>
    </r>
    <r>
      <rPr>
        <sz val="12"/>
        <rFont val="Times New Roman"/>
        <family val="1"/>
      </rPr>
      <t>5</t>
    </r>
    <r>
      <rPr>
        <sz val="12"/>
        <rFont val="標楷體"/>
        <family val="4"/>
        <charset val="136"/>
      </rPr>
      <t>年減給</t>
    </r>
    <r>
      <rPr>
        <sz val="12"/>
        <rFont val="Times New Roman"/>
        <family val="1"/>
      </rPr>
      <t>20%</t>
    </r>
    <r>
      <rPr>
        <sz val="12"/>
        <rFont val="標楷體"/>
        <family val="4"/>
        <charset val="136"/>
      </rPr>
      <t>；符合老年年金給付請領年齡
　　　而延後請領者，每延後</t>
    </r>
    <r>
      <rPr>
        <sz val="12"/>
        <rFont val="Times New Roman"/>
        <family val="1"/>
      </rPr>
      <t>1</t>
    </r>
    <r>
      <rPr>
        <sz val="12"/>
        <rFont val="標楷體"/>
        <family val="4"/>
        <charset val="136"/>
      </rPr>
      <t>年按給付金額增給</t>
    </r>
    <r>
      <rPr>
        <sz val="12"/>
        <rFont val="Times New Roman"/>
        <family val="1"/>
      </rPr>
      <t>4%</t>
    </r>
    <r>
      <rPr>
        <sz val="12"/>
        <rFont val="標楷體"/>
        <family val="4"/>
        <charset val="136"/>
      </rPr>
      <t>，最多增給</t>
    </r>
    <r>
      <rPr>
        <sz val="12"/>
        <rFont val="Times New Roman"/>
        <family val="1"/>
      </rPr>
      <t>20%</t>
    </r>
    <r>
      <rPr>
        <sz val="12"/>
        <rFont val="標楷體"/>
        <family val="4"/>
        <charset val="136"/>
      </rPr>
      <t>。
　　</t>
    </r>
    <r>
      <rPr>
        <sz val="12"/>
        <rFont val="Times New Roman"/>
        <family val="1"/>
      </rPr>
      <t xml:space="preserve">2. </t>
    </r>
    <r>
      <rPr>
        <sz val="12"/>
        <rFont val="標楷體"/>
        <family val="4"/>
        <charset val="136"/>
      </rPr>
      <t>老年年金給付部分案件被保險人退保當時投保單位之地區不明，故本表總計包含無法歸類縣
　　　市別之男性</t>
    </r>
    <r>
      <rPr>
        <sz val="12"/>
        <rFont val="Times New Roman"/>
        <family val="1"/>
      </rPr>
      <t>0</t>
    </r>
    <r>
      <rPr>
        <sz val="12"/>
        <rFont val="標楷體"/>
        <family val="4"/>
        <charset val="136"/>
      </rPr>
      <t>元；女性</t>
    </r>
    <r>
      <rPr>
        <sz val="12"/>
        <rFont val="Times New Roman"/>
        <family val="1"/>
      </rPr>
      <t>30,200</t>
    </r>
    <r>
      <rPr>
        <sz val="12"/>
        <rFont val="標楷體"/>
        <family val="4"/>
        <charset val="136"/>
      </rPr>
      <t>元。
　　</t>
    </r>
    <r>
      <rPr>
        <sz val="12"/>
        <rFont val="Times New Roman"/>
        <family val="1"/>
      </rPr>
      <t xml:space="preserve">3. </t>
    </r>
    <r>
      <rPr>
        <sz val="12"/>
        <rFont val="標楷體"/>
        <family val="4"/>
        <charset val="136"/>
      </rPr>
      <t>老年年金給付平均月領金額＝全年核付金額</t>
    </r>
    <r>
      <rPr>
        <sz val="12"/>
        <rFont val="Times New Roman"/>
        <family val="1"/>
      </rPr>
      <t xml:space="preserve"> ÷</t>
    </r>
    <r>
      <rPr>
        <sz val="12"/>
        <rFont val="標楷體"/>
        <family val="4"/>
        <charset val="136"/>
      </rPr>
      <t>平均核付人數</t>
    </r>
    <r>
      <rPr>
        <sz val="12"/>
        <rFont val="Times New Roman"/>
        <family val="1"/>
      </rPr>
      <t>÷12</t>
    </r>
    <r>
      <rPr>
        <sz val="12"/>
        <rFont val="標楷體"/>
        <family val="4"/>
        <charset val="136"/>
      </rPr>
      <t>。
　　</t>
    </r>
    <r>
      <rPr>
        <sz val="12"/>
        <rFont val="Times New Roman"/>
        <family val="1"/>
      </rPr>
      <t xml:space="preserve">4. </t>
    </r>
    <r>
      <rPr>
        <sz val="12"/>
        <rFont val="標楷體"/>
        <family val="4"/>
        <charset val="136"/>
      </rPr>
      <t>本表部分數字因四捨五入關係，部分總計數字容不等於細項數字之和。</t>
    </r>
  </si>
  <si>
    <r>
      <rPr>
        <sz val="12"/>
        <rFont val="標楷體"/>
        <family val="4"/>
        <charset val="136"/>
      </rPr>
      <t>註：</t>
    </r>
    <r>
      <rPr>
        <sz val="12"/>
        <rFont val="Times New Roman"/>
        <family val="1"/>
      </rPr>
      <t xml:space="preserve">1. </t>
    </r>
    <r>
      <rPr>
        <sz val="12"/>
        <rFont val="標楷體"/>
        <family val="4"/>
        <charset val="136"/>
      </rPr>
      <t>老年一次金給付係指被保險人年滿</t>
    </r>
    <r>
      <rPr>
        <sz val="12"/>
        <rFont val="Times New Roman"/>
        <family val="1"/>
      </rPr>
      <t>60</t>
    </r>
    <r>
      <rPr>
        <sz val="12"/>
        <rFont val="標楷體"/>
        <family val="4"/>
        <charset val="136"/>
      </rPr>
      <t>歲，保險年資合計未滿</t>
    </r>
    <r>
      <rPr>
        <sz val="12"/>
        <rFont val="Times New Roman"/>
        <family val="1"/>
      </rPr>
      <t>15</t>
    </r>
    <r>
      <rPr>
        <sz val="12"/>
        <rFont val="標楷體"/>
        <family val="4"/>
        <charset val="136"/>
      </rPr>
      <t>年，並辦理離職退保者。請領年
　　　齡自</t>
    </r>
    <r>
      <rPr>
        <sz val="12"/>
        <rFont val="Times New Roman"/>
        <family val="1"/>
      </rPr>
      <t>107</t>
    </r>
    <r>
      <rPr>
        <sz val="12"/>
        <rFont val="標楷體"/>
        <family val="4"/>
        <charset val="136"/>
      </rPr>
      <t>年提高為</t>
    </r>
    <r>
      <rPr>
        <sz val="12"/>
        <rFont val="Times New Roman"/>
        <family val="1"/>
      </rPr>
      <t>61</t>
    </r>
    <r>
      <rPr>
        <sz val="12"/>
        <rFont val="標楷體"/>
        <family val="4"/>
        <charset val="136"/>
      </rPr>
      <t>歲，</t>
    </r>
    <r>
      <rPr>
        <sz val="12"/>
        <rFont val="Times New Roman"/>
        <family val="1"/>
      </rPr>
      <t>109</t>
    </r>
    <r>
      <rPr>
        <sz val="12"/>
        <rFont val="標楷體"/>
        <family val="4"/>
        <charset val="136"/>
      </rPr>
      <t>年為</t>
    </r>
    <r>
      <rPr>
        <sz val="12"/>
        <rFont val="Times New Roman"/>
        <family val="1"/>
      </rPr>
      <t>62</t>
    </r>
    <r>
      <rPr>
        <sz val="12"/>
        <rFont val="標楷體"/>
        <family val="4"/>
        <charset val="136"/>
      </rPr>
      <t>歲，</t>
    </r>
    <r>
      <rPr>
        <sz val="12"/>
        <rFont val="Times New Roman"/>
        <family val="1"/>
      </rPr>
      <t>111</t>
    </r>
    <r>
      <rPr>
        <sz val="12"/>
        <rFont val="標楷體"/>
        <family val="4"/>
        <charset val="136"/>
      </rPr>
      <t>年為</t>
    </r>
    <r>
      <rPr>
        <sz val="12"/>
        <rFont val="Times New Roman"/>
        <family val="1"/>
      </rPr>
      <t>63</t>
    </r>
    <r>
      <rPr>
        <sz val="12"/>
        <rFont val="標楷體"/>
        <family val="4"/>
        <charset val="136"/>
      </rPr>
      <t>歲，</t>
    </r>
    <r>
      <rPr>
        <sz val="12"/>
        <rFont val="Times New Roman"/>
        <family val="1"/>
      </rPr>
      <t>113</t>
    </r>
    <r>
      <rPr>
        <sz val="12"/>
        <rFont val="標楷體"/>
        <family val="4"/>
        <charset val="136"/>
      </rPr>
      <t>年為</t>
    </r>
    <r>
      <rPr>
        <sz val="12"/>
        <rFont val="Times New Roman"/>
        <family val="1"/>
      </rPr>
      <t>64</t>
    </r>
    <r>
      <rPr>
        <sz val="12"/>
        <rFont val="標楷體"/>
        <family val="4"/>
        <charset val="136"/>
      </rPr>
      <t>歲，</t>
    </r>
    <r>
      <rPr>
        <sz val="12"/>
        <rFont val="Times New Roman"/>
        <family val="1"/>
      </rPr>
      <t>115</t>
    </r>
    <r>
      <rPr>
        <sz val="12"/>
        <rFont val="標楷體"/>
        <family val="4"/>
        <charset val="136"/>
      </rPr>
      <t>年以後為</t>
    </r>
    <r>
      <rPr>
        <sz val="12"/>
        <rFont val="Times New Roman"/>
        <family val="1"/>
      </rPr>
      <t>65</t>
    </r>
    <r>
      <rPr>
        <sz val="12"/>
        <rFont val="標楷體"/>
        <family val="4"/>
        <charset val="136"/>
      </rPr>
      <t>歲。給付金
　　　額＝平均月投保薪資</t>
    </r>
    <r>
      <rPr>
        <sz val="12"/>
        <rFont val="Times New Roman"/>
        <family val="1"/>
      </rPr>
      <t xml:space="preserve"> × </t>
    </r>
    <r>
      <rPr>
        <sz val="12"/>
        <rFont val="標楷體"/>
        <family val="4"/>
        <charset val="136"/>
      </rPr>
      <t>給付月數。平均月投保薪資按加保期間最高</t>
    </r>
    <r>
      <rPr>
        <sz val="12"/>
        <rFont val="Times New Roman"/>
        <family val="1"/>
      </rPr>
      <t>60</t>
    </r>
    <r>
      <rPr>
        <sz val="12"/>
        <rFont val="標楷體"/>
        <family val="4"/>
        <charset val="136"/>
      </rPr>
      <t>個月之月投保薪資平均計
　　　算；給付月數按保險年資計算，保險年資合計每滿</t>
    </r>
    <r>
      <rPr>
        <sz val="12"/>
        <rFont val="Times New Roman"/>
        <family val="1"/>
      </rPr>
      <t>1</t>
    </r>
    <r>
      <rPr>
        <sz val="12"/>
        <rFont val="標楷體"/>
        <family val="4"/>
        <charset val="136"/>
      </rPr>
      <t>年發給</t>
    </r>
    <r>
      <rPr>
        <sz val="12"/>
        <rFont val="Times New Roman"/>
        <family val="1"/>
      </rPr>
      <t>1</t>
    </r>
    <r>
      <rPr>
        <sz val="12"/>
        <rFont val="標楷體"/>
        <family val="4"/>
        <charset val="136"/>
      </rPr>
      <t>個月。
　　</t>
    </r>
    <r>
      <rPr>
        <sz val="12"/>
        <rFont val="Times New Roman"/>
        <family val="1"/>
      </rPr>
      <t xml:space="preserve">2. </t>
    </r>
    <r>
      <rPr>
        <sz val="12"/>
        <rFont val="標楷體"/>
        <family val="4"/>
        <charset val="136"/>
      </rPr>
      <t>老年一次金給付部分案件被保險人退保當時投保單位之地區不明，故本表總計包含無法歸類縣
　　　市別之男性</t>
    </r>
    <r>
      <rPr>
        <sz val="12"/>
        <rFont val="Times New Roman"/>
        <family val="1"/>
      </rPr>
      <t>1</t>
    </r>
    <r>
      <rPr>
        <sz val="12"/>
        <rFont val="標楷體"/>
        <family val="4"/>
        <charset val="136"/>
      </rPr>
      <t>件，</t>
    </r>
    <r>
      <rPr>
        <sz val="12"/>
        <rFont val="Times New Roman"/>
        <family val="1"/>
      </rPr>
      <t>392</t>
    </r>
    <r>
      <rPr>
        <sz val="12"/>
        <rFont val="標楷體"/>
        <family val="4"/>
        <charset val="136"/>
      </rPr>
      <t>元；女性</t>
    </r>
    <r>
      <rPr>
        <sz val="12"/>
        <rFont val="Times New Roman"/>
        <family val="1"/>
      </rPr>
      <t>1</t>
    </r>
    <r>
      <rPr>
        <sz val="12"/>
        <rFont val="標楷體"/>
        <family val="4"/>
        <charset val="136"/>
      </rPr>
      <t>件，</t>
    </r>
    <r>
      <rPr>
        <sz val="12"/>
        <rFont val="Times New Roman"/>
        <family val="1"/>
      </rPr>
      <t>173</t>
    </r>
    <r>
      <rPr>
        <sz val="12"/>
        <rFont val="標楷體"/>
        <family val="4"/>
        <charset val="136"/>
      </rPr>
      <t>元。
　　</t>
    </r>
    <r>
      <rPr>
        <sz val="12"/>
        <rFont val="Times New Roman"/>
        <family val="1"/>
      </rPr>
      <t xml:space="preserve">3. </t>
    </r>
    <r>
      <rPr>
        <sz val="12"/>
        <rFont val="標楷體"/>
        <family val="4"/>
        <charset val="136"/>
      </rPr>
      <t>老年一次金給付平均給付金額＝全年核付金額</t>
    </r>
    <r>
      <rPr>
        <sz val="12"/>
        <rFont val="Times New Roman"/>
        <family val="1"/>
      </rPr>
      <t>÷</t>
    </r>
    <r>
      <rPr>
        <sz val="12"/>
        <rFont val="標楷體"/>
        <family val="4"/>
        <charset val="136"/>
      </rPr>
      <t>全年核付件數。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</si>
</sst>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3" formatCode="_-* #,##0.00_-;\-* #,##0.00_-;_-* &quot;-&quot;??_-;_-@_-"/>
    <numFmt numFmtId="176" formatCode="_-* #,##0;\-* #,##0;_-* &quot;-&quot;;_-@"/>
    <numFmt numFmtId="177" formatCode="_-#,##0;\-#,##0;_-&quot;-&quot;;_-@"/>
  </numFmts>
  <fonts count="34">
    <font>
      <sz val="12"/>
      <name val="新細明體"/>
      <family val="1"/>
      <charset val="136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b/>
      <sz val="14"/>
      <name val="標楷體"/>
      <family val="4"/>
      <charset val="136"/>
    </font>
    <font>
      <sz val="9"/>
      <name val="細明體"/>
      <family val="3"/>
      <charset val="136"/>
    </font>
    <font>
      <sz val="12"/>
      <name val="Arial"/>
      <family val="2"/>
    </font>
    <font>
      <sz val="12"/>
      <name val="標楷體"/>
      <family val="4"/>
      <charset val="136"/>
    </font>
    <font>
      <b/>
      <sz val="12"/>
      <name val="標楷體"/>
      <family val="4"/>
      <charset val="136"/>
    </font>
    <font>
      <b/>
      <sz val="12"/>
      <name val="Arial"/>
      <family val="2"/>
    </font>
    <font>
      <sz val="12"/>
      <name val="Times New Roman"/>
      <family val="1"/>
    </font>
    <font>
      <b/>
      <sz val="10"/>
      <name val="Arial"/>
      <family val="2"/>
    </font>
    <font>
      <sz val="10"/>
      <name val="Arial"/>
      <family val="2"/>
    </font>
    <font>
      <sz val="16"/>
      <name val="華康楷書體W5"/>
      <family val="1"/>
      <charset val="136"/>
    </font>
    <font>
      <b/>
      <sz val="16"/>
      <name val="標楷體"/>
      <family val="4"/>
      <charset val="136"/>
    </font>
    <font>
      <sz val="9"/>
      <name val="新細明體"/>
      <family val="1"/>
      <charset val="136"/>
    </font>
    <font>
      <b/>
      <sz val="14"/>
      <name val="Arial"/>
      <family val="2"/>
    </font>
    <font>
      <b/>
      <sz val="16"/>
      <name val="Arial"/>
      <family val="2"/>
    </font>
    <font>
      <sz val="9"/>
      <name val="Times New Roman"/>
      <family val="1"/>
    </font>
    <font>
      <sz val="11"/>
      <name val="標楷體"/>
      <family val="4"/>
      <charset val="136"/>
    </font>
    <font>
      <b/>
      <sz val="14"/>
      <name val="Arial Narrow"/>
      <family val="2"/>
    </font>
    <font>
      <sz val="12"/>
      <name val="Arial Narrow"/>
      <family val="2"/>
    </font>
    <font>
      <b/>
      <sz val="10"/>
      <name val="Arial Narrow"/>
      <family val="2"/>
    </font>
    <font>
      <sz val="10"/>
      <name val="Arial Narrow"/>
      <family val="2"/>
    </font>
    <font>
      <sz val="11"/>
      <name val="Arial Narrow"/>
      <family val="2"/>
    </font>
    <font>
      <b/>
      <sz val="11"/>
      <name val="Arial Narrow"/>
      <family val="2"/>
    </font>
    <font>
      <b/>
      <sz val="11"/>
      <name val="標楷體"/>
      <family val="4"/>
      <charset val="136"/>
    </font>
    <font>
      <b/>
      <sz val="12"/>
      <color rgb="FFFF0000"/>
      <name val="微軟正黑體"/>
      <family val="2"/>
      <charset val="136"/>
    </font>
    <font>
      <b/>
      <sz val="12"/>
      <color indexed="10"/>
      <name val="微軟正黑體"/>
      <family val="2"/>
      <charset val="136"/>
    </font>
    <font>
      <sz val="12"/>
      <name val="細明體"/>
      <family val="3"/>
      <charset val="136"/>
    </font>
    <font>
      <sz val="12"/>
      <name val="Times New Roman"/>
      <family val="4"/>
    </font>
    <font>
      <sz val="12"/>
      <name val="微軟正黑體"/>
      <family val="1"/>
      <charset val="136"/>
    </font>
    <font>
      <sz val="12"/>
      <name val="Times New Roman"/>
      <family val="4"/>
      <charset val="136"/>
    </font>
    <font>
      <sz val="12"/>
      <name val="新細明體"/>
      <family val="1"/>
      <charset val="136"/>
    </font>
    <font>
      <sz val="10"/>
      <name val="Tahoma"/>
      <family val="2"/>
    </font>
  </fonts>
  <fills count="6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theme="2"/>
        <bgColor indexed="64"/>
      </patternFill>
    </fill>
  </fills>
  <borders count="2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</borders>
  <cellStyleXfs count="14">
    <xf numFmtId="0" fontId="0" fillId="0" borderId="0"/>
    <xf numFmtId="0" fontId="2" fillId="0" borderId="0">
      <alignment vertical="center"/>
    </xf>
    <xf numFmtId="43" fontId="32" fillId="0" borderId="0" applyFont="0" applyFill="0" applyBorder="0" applyAlignment="0" applyProtection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3" fillId="0" borderId="0"/>
  </cellStyleXfs>
  <cellXfs count="216">
    <xf numFmtId="0" fontId="0" fillId="0" borderId="0" xfId="0"/>
    <xf numFmtId="0" fontId="5" fillId="0" borderId="0" xfId="0" applyFont="1" applyAlignment="1">
      <alignment vertical="center"/>
    </xf>
    <xf numFmtId="0" fontId="5" fillId="0" borderId="0" xfId="0" applyFont="1" applyAlignment="1">
      <alignment horizontal="center" vertical="top"/>
    </xf>
    <xf numFmtId="0" fontId="5" fillId="0" borderId="1" xfId="0" applyFont="1" applyBorder="1" applyAlignment="1">
      <alignment horizontal="center" vertical="center"/>
    </xf>
    <xf numFmtId="0" fontId="9" fillId="0" borderId="0" xfId="0" applyFont="1" applyAlignment="1">
      <alignment vertical="center"/>
    </xf>
    <xf numFmtId="176" fontId="10" fillId="0" borderId="1" xfId="0" applyNumberFormat="1" applyFont="1" applyBorder="1" applyAlignment="1">
      <alignment vertical="center"/>
    </xf>
    <xf numFmtId="176" fontId="11" fillId="0" borderId="1" xfId="0" applyNumberFormat="1" applyFont="1" applyBorder="1" applyAlignment="1">
      <alignment vertical="center"/>
    </xf>
    <xf numFmtId="3" fontId="10" fillId="0" borderId="1" xfId="0" applyNumberFormat="1" applyFont="1" applyBorder="1" applyAlignment="1">
      <alignment vertical="center"/>
    </xf>
    <xf numFmtId="3" fontId="11" fillId="0" borderId="1" xfId="0" applyNumberFormat="1" applyFont="1" applyBorder="1" applyAlignment="1">
      <alignment vertical="center"/>
    </xf>
    <xf numFmtId="177" fontId="10" fillId="0" borderId="1" xfId="0" applyNumberFormat="1" applyFont="1" applyBorder="1" applyAlignment="1">
      <alignment vertical="center"/>
    </xf>
    <xf numFmtId="177" fontId="11" fillId="0" borderId="1" xfId="0" applyNumberFormat="1" applyFont="1" applyBorder="1" applyAlignment="1">
      <alignment vertical="center"/>
    </xf>
    <xf numFmtId="0" fontId="16" fillId="4" borderId="10" xfId="0" applyFont="1" applyFill="1" applyBorder="1" applyAlignment="1">
      <alignment horizontal="centerContinuous" vertical="center"/>
    </xf>
    <xf numFmtId="0" fontId="16" fillId="4" borderId="0" xfId="0" applyFont="1" applyFill="1" applyBorder="1" applyAlignment="1">
      <alignment horizontal="centerContinuous" vertical="center"/>
    </xf>
    <xf numFmtId="0" fontId="16" fillId="0" borderId="0" xfId="0" applyFont="1" applyBorder="1" applyAlignment="1">
      <alignment vertical="center"/>
    </xf>
    <xf numFmtId="0" fontId="16" fillId="2" borderId="10" xfId="0" applyFont="1" applyFill="1" applyBorder="1" applyAlignment="1">
      <alignment horizontal="centerContinuous" vertical="center"/>
    </xf>
    <xf numFmtId="0" fontId="16" fillId="3" borderId="10" xfId="0" applyFont="1" applyFill="1" applyBorder="1" applyAlignment="1">
      <alignment horizontal="centerContinuous" vertical="center"/>
    </xf>
    <xf numFmtId="0" fontId="8" fillId="0" borderId="1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20" fillId="0" borderId="0" xfId="0" applyFont="1" applyAlignment="1">
      <alignment vertical="center"/>
    </xf>
    <xf numFmtId="0" fontId="20" fillId="0" borderId="0" xfId="0" applyFont="1" applyAlignment="1">
      <alignment horizontal="center" vertical="top"/>
    </xf>
    <xf numFmtId="0" fontId="20" fillId="0" borderId="0" xfId="0" applyFont="1" applyAlignment="1">
      <alignment horizontal="center" vertical="center"/>
    </xf>
    <xf numFmtId="176" fontId="20" fillId="0" borderId="0" xfId="0" applyNumberFormat="1" applyFont="1" applyAlignment="1">
      <alignment vertical="center"/>
    </xf>
    <xf numFmtId="176" fontId="21" fillId="0" borderId="1" xfId="0" applyNumberFormat="1" applyFont="1" applyBorder="1" applyAlignment="1">
      <alignment vertical="center"/>
    </xf>
    <xf numFmtId="176" fontId="21" fillId="0" borderId="2" xfId="0" applyNumberFormat="1" applyFont="1" applyBorder="1" applyAlignment="1">
      <alignment vertical="center"/>
    </xf>
    <xf numFmtId="0" fontId="20" fillId="0" borderId="1" xfId="0" applyFont="1" applyBorder="1" applyAlignment="1">
      <alignment horizontal="center" vertical="center"/>
    </xf>
    <xf numFmtId="176" fontId="22" fillId="0" borderId="1" xfId="0" applyNumberFormat="1" applyFont="1" applyBorder="1" applyAlignment="1">
      <alignment vertical="center"/>
    </xf>
    <xf numFmtId="176" fontId="22" fillId="0" borderId="2" xfId="0" applyNumberFormat="1" applyFont="1" applyBorder="1" applyAlignment="1">
      <alignment vertical="center"/>
    </xf>
    <xf numFmtId="176" fontId="22" fillId="0" borderId="3" xfId="0" applyNumberFormat="1" applyFont="1" applyBorder="1" applyAlignment="1">
      <alignment vertical="center"/>
    </xf>
    <xf numFmtId="176" fontId="22" fillId="0" borderId="8" xfId="0" applyNumberFormat="1" applyFont="1" applyBorder="1" applyAlignment="1">
      <alignment vertical="center"/>
    </xf>
    <xf numFmtId="0" fontId="20" fillId="0" borderId="2" xfId="0" applyFont="1" applyBorder="1" applyAlignment="1">
      <alignment horizontal="center" vertical="center"/>
    </xf>
    <xf numFmtId="0" fontId="20" fillId="0" borderId="0" xfId="0" applyFont="1" applyBorder="1" applyAlignment="1">
      <alignment horizontal="center" vertical="top"/>
    </xf>
    <xf numFmtId="0" fontId="23" fillId="0" borderId="0" xfId="0" applyFont="1" applyAlignment="1">
      <alignment horizontal="center" vertical="center"/>
    </xf>
    <xf numFmtId="0" fontId="23" fillId="0" borderId="0" xfId="0" applyFont="1" applyAlignment="1">
      <alignment vertical="center"/>
    </xf>
    <xf numFmtId="176" fontId="23" fillId="0" borderId="0" xfId="0" applyNumberFormat="1" applyFont="1" applyAlignment="1">
      <alignment vertical="center"/>
    </xf>
    <xf numFmtId="0" fontId="15" fillId="0" borderId="0" xfId="0" applyFont="1" applyAlignment="1">
      <alignment horizontal="centerContinuous" vertical="center"/>
    </xf>
    <xf numFmtId="0" fontId="5" fillId="0" borderId="1" xfId="0" applyFont="1" applyFill="1" applyBorder="1" applyAlignment="1">
      <alignment horizontal="center" vertical="center"/>
    </xf>
    <xf numFmtId="0" fontId="20" fillId="0" borderId="0" xfId="0" applyFont="1" applyAlignment="1">
      <alignment horizontal="center" vertical="center"/>
    </xf>
    <xf numFmtId="0" fontId="6" fillId="5" borderId="1" xfId="0" applyNumberFormat="1" applyFont="1" applyFill="1" applyBorder="1" applyAlignment="1">
      <alignment horizontal="center" vertical="center" wrapText="1"/>
    </xf>
    <xf numFmtId="0" fontId="20" fillId="5" borderId="1" xfId="0" applyNumberFormat="1" applyFont="1" applyFill="1" applyBorder="1" applyAlignment="1">
      <alignment horizontal="center" vertical="center"/>
    </xf>
    <xf numFmtId="0" fontId="20" fillId="5" borderId="2" xfId="0" applyNumberFormat="1" applyFont="1" applyFill="1" applyBorder="1" applyAlignment="1">
      <alignment horizontal="center" vertical="center"/>
    </xf>
    <xf numFmtId="0" fontId="24" fillId="5" borderId="1" xfId="0" applyFont="1" applyFill="1" applyBorder="1" applyAlignment="1">
      <alignment horizontal="center" vertical="center"/>
    </xf>
    <xf numFmtId="176" fontId="21" fillId="5" borderId="1" xfId="0" applyNumberFormat="1" applyFont="1" applyFill="1" applyBorder="1" applyAlignment="1">
      <alignment vertical="center"/>
    </xf>
    <xf numFmtId="176" fontId="21" fillId="5" borderId="2" xfId="0" applyNumberFormat="1" applyFont="1" applyFill="1" applyBorder="1" applyAlignment="1">
      <alignment vertical="center"/>
    </xf>
    <xf numFmtId="0" fontId="23" fillId="5" borderId="1" xfId="0" applyFont="1" applyFill="1" applyBorder="1" applyAlignment="1">
      <alignment horizontal="center" vertical="center"/>
    </xf>
    <xf numFmtId="176" fontId="22" fillId="5" borderId="1" xfId="0" applyNumberFormat="1" applyFont="1" applyFill="1" applyBorder="1" applyAlignment="1">
      <alignment vertical="center"/>
    </xf>
    <xf numFmtId="176" fontId="22" fillId="5" borderId="2" xfId="0" applyNumberFormat="1" applyFont="1" applyFill="1" applyBorder="1" applyAlignment="1">
      <alignment vertical="center"/>
    </xf>
    <xf numFmtId="0" fontId="23" fillId="5" borderId="3" xfId="0" applyFont="1" applyFill="1" applyBorder="1" applyAlignment="1">
      <alignment horizontal="center" vertical="center"/>
    </xf>
    <xf numFmtId="176" fontId="22" fillId="5" borderId="3" xfId="0" applyNumberFormat="1" applyFont="1" applyFill="1" applyBorder="1" applyAlignment="1">
      <alignment vertical="center"/>
    </xf>
    <xf numFmtId="176" fontId="22" fillId="5" borderId="8" xfId="0" applyNumberFormat="1" applyFont="1" applyFill="1" applyBorder="1" applyAlignment="1">
      <alignment vertical="center"/>
    </xf>
    <xf numFmtId="176" fontId="21" fillId="5" borderId="9" xfId="0" applyNumberFormat="1" applyFont="1" applyFill="1" applyBorder="1" applyAlignment="1">
      <alignment vertical="center"/>
    </xf>
    <xf numFmtId="0" fontId="18" fillId="5" borderId="1" xfId="0" applyFont="1" applyFill="1" applyBorder="1" applyAlignment="1">
      <alignment horizontal="center" vertical="center"/>
    </xf>
    <xf numFmtId="0" fontId="20" fillId="5" borderId="1" xfId="0" applyFont="1" applyFill="1" applyBorder="1" applyAlignment="1">
      <alignment horizontal="center" vertical="center"/>
    </xf>
    <xf numFmtId="0" fontId="20" fillId="0" borderId="0" xfId="0" applyFont="1" applyFill="1" applyAlignment="1">
      <alignment vertical="center"/>
    </xf>
    <xf numFmtId="0" fontId="20" fillId="0" borderId="0" xfId="0" applyFont="1" applyFill="1" applyAlignment="1">
      <alignment horizontal="center" vertical="top"/>
    </xf>
    <xf numFmtId="0" fontId="23" fillId="0" borderId="0" xfId="0" applyFont="1" applyFill="1" applyAlignment="1">
      <alignment horizontal="center" vertical="center"/>
    </xf>
    <xf numFmtId="0" fontId="23" fillId="0" borderId="0" xfId="0" applyFont="1" applyFill="1" applyAlignment="1">
      <alignment vertical="center"/>
    </xf>
    <xf numFmtId="176" fontId="23" fillId="0" borderId="0" xfId="0" applyNumberFormat="1" applyFont="1" applyFill="1" applyAlignment="1">
      <alignment vertical="center"/>
    </xf>
    <xf numFmtId="176" fontId="20" fillId="0" borderId="0" xfId="0" applyNumberFormat="1" applyFont="1" applyFill="1" applyAlignment="1">
      <alignment vertical="center"/>
    </xf>
    <xf numFmtId="0" fontId="20" fillId="0" borderId="0" xfId="0" applyFont="1" applyFill="1" applyAlignment="1">
      <alignment horizontal="center" vertical="center"/>
    </xf>
    <xf numFmtId="0" fontId="6" fillId="0" borderId="1" xfId="0" applyNumberFormat="1" applyFont="1" applyFill="1" applyBorder="1" applyAlignment="1">
      <alignment horizontal="center" vertical="center" wrapText="1"/>
    </xf>
    <xf numFmtId="0" fontId="20" fillId="0" borderId="1" xfId="0" applyNumberFormat="1" applyFont="1" applyFill="1" applyBorder="1" applyAlignment="1">
      <alignment horizontal="center" vertical="center"/>
    </xf>
    <xf numFmtId="0" fontId="20" fillId="0" borderId="2" xfId="0" applyNumberFormat="1" applyFont="1" applyFill="1" applyBorder="1" applyAlignment="1">
      <alignment horizontal="center" vertical="center"/>
    </xf>
    <xf numFmtId="0" fontId="24" fillId="0" borderId="1" xfId="0" applyFont="1" applyFill="1" applyBorder="1" applyAlignment="1">
      <alignment horizontal="center" vertical="center"/>
    </xf>
    <xf numFmtId="176" fontId="21" fillId="0" borderId="1" xfId="0" applyNumberFormat="1" applyFont="1" applyFill="1" applyBorder="1" applyAlignment="1">
      <alignment vertical="center"/>
    </xf>
    <xf numFmtId="176" fontId="21" fillId="0" borderId="2" xfId="0" applyNumberFormat="1" applyFont="1" applyFill="1" applyBorder="1" applyAlignment="1">
      <alignment vertical="center"/>
    </xf>
    <xf numFmtId="176" fontId="21" fillId="0" borderId="12" xfId="0" applyNumberFormat="1" applyFont="1" applyFill="1" applyBorder="1" applyAlignment="1">
      <alignment vertical="center"/>
    </xf>
    <xf numFmtId="176" fontId="21" fillId="0" borderId="27" xfId="0" applyNumberFormat="1" applyFont="1" applyFill="1" applyBorder="1" applyAlignment="1">
      <alignment vertical="center"/>
    </xf>
    <xf numFmtId="176" fontId="21" fillId="0" borderId="9" xfId="0" applyNumberFormat="1" applyFont="1" applyFill="1" applyBorder="1" applyAlignment="1">
      <alignment vertical="center"/>
    </xf>
    <xf numFmtId="0" fontId="23" fillId="0" borderId="1" xfId="0" applyFont="1" applyFill="1" applyBorder="1" applyAlignment="1">
      <alignment horizontal="center" vertical="center"/>
    </xf>
    <xf numFmtId="176" fontId="22" fillId="0" borderId="1" xfId="0" applyNumberFormat="1" applyFont="1" applyFill="1" applyBorder="1" applyAlignment="1">
      <alignment vertical="center"/>
    </xf>
    <xf numFmtId="176" fontId="22" fillId="0" borderId="2" xfId="0" applyNumberFormat="1" applyFont="1" applyFill="1" applyBorder="1" applyAlignment="1">
      <alignment vertical="center"/>
    </xf>
    <xf numFmtId="176" fontId="22" fillId="0" borderId="12" xfId="0" applyNumberFormat="1" applyFont="1" applyFill="1" applyBorder="1" applyAlignment="1">
      <alignment vertical="center"/>
    </xf>
    <xf numFmtId="0" fontId="23" fillId="0" borderId="3" xfId="0" applyFont="1" applyFill="1" applyBorder="1" applyAlignment="1">
      <alignment horizontal="center" vertical="center"/>
    </xf>
    <xf numFmtId="176" fontId="22" fillId="0" borderId="3" xfId="0" applyNumberFormat="1" applyFont="1" applyFill="1" applyBorder="1" applyAlignment="1">
      <alignment vertical="center"/>
    </xf>
    <xf numFmtId="176" fontId="22" fillId="0" borderId="8" xfId="0" applyNumberFormat="1" applyFont="1" applyFill="1" applyBorder="1" applyAlignment="1">
      <alignment vertical="center"/>
    </xf>
    <xf numFmtId="0" fontId="18" fillId="0" borderId="1" xfId="0" applyFont="1" applyFill="1" applyBorder="1" applyAlignment="1">
      <alignment horizontal="center" vertical="center"/>
    </xf>
    <xf numFmtId="0" fontId="9" fillId="0" borderId="0" xfId="0" applyFont="1" applyFill="1" applyAlignment="1">
      <alignment vertical="center"/>
    </xf>
    <xf numFmtId="0" fontId="23" fillId="0" borderId="1" xfId="0" applyFont="1" applyFill="1" applyBorder="1" applyAlignment="1">
      <alignment horizontal="center" vertical="center" wrapText="1"/>
    </xf>
    <xf numFmtId="176" fontId="21" fillId="5" borderId="12" xfId="0" applyNumberFormat="1" applyFont="1" applyFill="1" applyBorder="1" applyAlignment="1">
      <alignment vertical="center"/>
    </xf>
    <xf numFmtId="176" fontId="21" fillId="5" borderId="27" xfId="0" applyNumberFormat="1" applyFont="1" applyFill="1" applyBorder="1" applyAlignment="1">
      <alignment vertical="center"/>
    </xf>
    <xf numFmtId="176" fontId="22" fillId="5" borderId="12" xfId="0" applyNumberFormat="1" applyFont="1" applyFill="1" applyBorder="1" applyAlignment="1">
      <alignment vertical="center"/>
    </xf>
    <xf numFmtId="0" fontId="9" fillId="0" borderId="1" xfId="0" applyNumberFormat="1" applyFont="1" applyFill="1" applyBorder="1" applyAlignment="1">
      <alignment horizontal="center" vertical="center" wrapText="1"/>
    </xf>
    <xf numFmtId="0" fontId="9" fillId="5" borderId="1" xfId="0" applyNumberFormat="1" applyFont="1" applyFill="1" applyBorder="1" applyAlignment="1">
      <alignment horizontal="center" vertical="center" wrapText="1"/>
    </xf>
    <xf numFmtId="0" fontId="20" fillId="0" borderId="0" xfId="0" applyFont="1" applyFill="1" applyAlignment="1">
      <alignment horizontal="center" vertical="center"/>
    </xf>
    <xf numFmtId="0" fontId="20" fillId="0" borderId="1" xfId="0" applyNumberFormat="1" applyFont="1" applyFill="1" applyBorder="1" applyAlignment="1">
      <alignment horizontal="center" vertical="center"/>
    </xf>
    <xf numFmtId="0" fontId="20" fillId="0" borderId="2" xfId="0" applyNumberFormat="1" applyFont="1" applyFill="1" applyBorder="1" applyAlignment="1">
      <alignment horizontal="center" vertical="center"/>
    </xf>
    <xf numFmtId="0" fontId="20" fillId="0" borderId="0" xfId="0" applyFont="1" applyFill="1" applyAlignment="1">
      <alignment horizontal="center" vertical="center"/>
    </xf>
    <xf numFmtId="0" fontId="20" fillId="5" borderId="1" xfId="0" applyNumberFormat="1" applyFont="1" applyFill="1" applyBorder="1" applyAlignment="1">
      <alignment horizontal="center" vertical="center"/>
    </xf>
    <xf numFmtId="0" fontId="20" fillId="5" borderId="2" xfId="0" applyNumberFormat="1" applyFont="1" applyFill="1" applyBorder="1" applyAlignment="1">
      <alignment horizontal="center" vertical="center"/>
    </xf>
    <xf numFmtId="0" fontId="20" fillId="0" borderId="0" xfId="0" applyFont="1" applyFill="1" applyAlignment="1">
      <alignment horizontal="center" vertical="center"/>
    </xf>
    <xf numFmtId="0" fontId="20" fillId="0" borderId="1" xfId="0" applyNumberFormat="1" applyFont="1" applyFill="1" applyBorder="1" applyAlignment="1">
      <alignment horizontal="center" vertical="center"/>
    </xf>
    <xf numFmtId="0" fontId="20" fillId="0" borderId="2" xfId="0" applyNumberFormat="1" applyFont="1" applyFill="1" applyBorder="1" applyAlignment="1">
      <alignment horizontal="center" vertical="center"/>
    </xf>
    <xf numFmtId="0" fontId="20" fillId="0" borderId="0" xfId="0" applyFont="1" applyFill="1" applyAlignment="1">
      <alignment horizontal="center" vertical="center"/>
    </xf>
    <xf numFmtId="0" fontId="20" fillId="5" borderId="1" xfId="0" applyNumberFormat="1" applyFont="1" applyFill="1" applyBorder="1" applyAlignment="1">
      <alignment horizontal="center" vertical="center"/>
    </xf>
    <xf numFmtId="0" fontId="20" fillId="5" borderId="2" xfId="0" applyNumberFormat="1" applyFont="1" applyFill="1" applyBorder="1" applyAlignment="1">
      <alignment horizontal="center" vertical="center"/>
    </xf>
    <xf numFmtId="0" fontId="20" fillId="0" borderId="0" xfId="0" applyFont="1" applyFill="1" applyAlignment="1">
      <alignment horizontal="center" vertical="center"/>
    </xf>
    <xf numFmtId="0" fontId="20" fillId="0" borderId="1" xfId="0" applyNumberFormat="1" applyFont="1" applyFill="1" applyBorder="1" applyAlignment="1">
      <alignment horizontal="center" vertical="center"/>
    </xf>
    <xf numFmtId="0" fontId="20" fillId="0" borderId="2" xfId="0" applyNumberFormat="1" applyFont="1" applyFill="1" applyBorder="1" applyAlignment="1">
      <alignment horizontal="center" vertical="center"/>
    </xf>
    <xf numFmtId="0" fontId="20" fillId="0" borderId="1" xfId="0" applyNumberFormat="1" applyFont="1" applyFill="1" applyBorder="1" applyAlignment="1">
      <alignment horizontal="center" vertical="center"/>
    </xf>
    <xf numFmtId="0" fontId="20" fillId="0" borderId="17" xfId="0" applyNumberFormat="1" applyFont="1" applyFill="1" applyBorder="1" applyAlignment="1">
      <alignment horizontal="center" vertical="center" wrapText="1"/>
    </xf>
    <xf numFmtId="0" fontId="20" fillId="0" borderId="15" xfId="0" applyNumberFormat="1" applyFont="1" applyFill="1" applyBorder="1" applyAlignment="1">
      <alignment horizontal="center" vertical="center"/>
    </xf>
    <xf numFmtId="0" fontId="20" fillId="0" borderId="6" xfId="0" applyNumberFormat="1" applyFont="1" applyFill="1" applyBorder="1" applyAlignment="1">
      <alignment horizontal="center" vertical="center"/>
    </xf>
    <xf numFmtId="0" fontId="20" fillId="0" borderId="6" xfId="0" applyFont="1" applyFill="1" applyBorder="1" applyAlignment="1">
      <alignment horizontal="center" vertical="center"/>
    </xf>
    <xf numFmtId="0" fontId="20" fillId="0" borderId="26" xfId="0" applyFont="1" applyFill="1" applyBorder="1" applyAlignment="1">
      <alignment horizontal="center" vertical="center"/>
    </xf>
    <xf numFmtId="0" fontId="20" fillId="0" borderId="7" xfId="0" applyFont="1" applyFill="1" applyBorder="1" applyAlignment="1">
      <alignment horizontal="center" vertical="center"/>
    </xf>
    <xf numFmtId="0" fontId="20" fillId="0" borderId="20" xfId="0" applyNumberFormat="1" applyFont="1" applyFill="1" applyBorder="1" applyAlignment="1">
      <alignment horizontal="center" vertical="center" wrapText="1"/>
    </xf>
    <xf numFmtId="0" fontId="20" fillId="0" borderId="21" xfId="0" applyNumberFormat="1" applyFont="1" applyFill="1" applyBorder="1" applyAlignment="1">
      <alignment wrapText="1"/>
    </xf>
    <xf numFmtId="0" fontId="20" fillId="0" borderId="25" xfId="0" applyNumberFormat="1" applyFont="1" applyFill="1" applyBorder="1" applyAlignment="1">
      <alignment horizontal="center" vertical="center" wrapText="1"/>
    </xf>
    <xf numFmtId="0" fontId="20" fillId="0" borderId="24" xfId="0" applyNumberFormat="1" applyFont="1" applyFill="1" applyBorder="1" applyAlignment="1">
      <alignment wrapText="1"/>
    </xf>
    <xf numFmtId="0" fontId="20" fillId="0" borderId="22" xfId="0" applyNumberFormat="1" applyFont="1" applyFill="1" applyBorder="1" applyAlignment="1">
      <alignment horizontal="center" vertical="center" wrapText="1"/>
    </xf>
    <xf numFmtId="0" fontId="20" fillId="0" borderId="23" xfId="0" applyNumberFormat="1" applyFont="1" applyFill="1" applyBorder="1" applyAlignment="1">
      <alignment wrapText="1"/>
    </xf>
    <xf numFmtId="0" fontId="3" fillId="0" borderId="0" xfId="0" applyFont="1" applyFill="1" applyAlignment="1">
      <alignment horizontal="center" vertical="center"/>
    </xf>
    <xf numFmtId="0" fontId="20" fillId="0" borderId="0" xfId="0" applyFont="1" applyFill="1" applyAlignment="1">
      <alignment horizontal="center" vertical="center"/>
    </xf>
    <xf numFmtId="0" fontId="20" fillId="0" borderId="11" xfId="0" applyNumberFormat="1" applyFont="1" applyFill="1" applyBorder="1" applyAlignment="1">
      <alignment horizontal="center" vertical="center"/>
    </xf>
    <xf numFmtId="0" fontId="20" fillId="0" borderId="2" xfId="0" applyNumberFormat="1" applyFont="1" applyFill="1" applyBorder="1" applyAlignment="1">
      <alignment horizontal="center" vertical="center"/>
    </xf>
    <xf numFmtId="0" fontId="26" fillId="0" borderId="18" xfId="0" applyFont="1" applyFill="1" applyBorder="1" applyAlignment="1">
      <alignment horizontal="center" vertical="top" wrapText="1"/>
    </xf>
    <xf numFmtId="0" fontId="26" fillId="0" borderId="19" xfId="0" applyFont="1" applyFill="1" applyBorder="1" applyAlignment="1">
      <alignment horizontal="center" vertical="top" wrapText="1"/>
    </xf>
    <xf numFmtId="0" fontId="26" fillId="0" borderId="19" xfId="0" applyFont="1" applyFill="1" applyBorder="1"/>
    <xf numFmtId="0" fontId="26" fillId="0" borderId="28" xfId="0" applyFont="1" applyFill="1" applyBorder="1"/>
    <xf numFmtId="0" fontId="20" fillId="0" borderId="13" xfId="0" applyFont="1" applyFill="1" applyBorder="1" applyAlignment="1">
      <alignment horizontal="center" vertical="top" wrapText="1"/>
    </xf>
    <xf numFmtId="0" fontId="20" fillId="0" borderId="14" xfId="0" applyFont="1" applyFill="1" applyBorder="1" applyAlignment="1">
      <alignment horizontal="center" vertical="top"/>
    </xf>
    <xf numFmtId="0" fontId="20" fillId="0" borderId="14" xfId="0" applyFont="1" applyFill="1" applyBorder="1"/>
    <xf numFmtId="0" fontId="20" fillId="0" borderId="4" xfId="0" applyFont="1" applyFill="1" applyBorder="1"/>
    <xf numFmtId="0" fontId="26" fillId="0" borderId="15" xfId="0" applyFont="1" applyFill="1" applyBorder="1" applyAlignment="1">
      <alignment horizontal="center" vertical="top" wrapText="1"/>
    </xf>
    <xf numFmtId="0" fontId="26" fillId="0" borderId="15" xfId="0" applyFont="1" applyFill="1" applyBorder="1" applyAlignment="1"/>
    <xf numFmtId="0" fontId="26" fillId="0" borderId="18" xfId="0" applyFont="1" applyFill="1" applyBorder="1" applyAlignment="1"/>
    <xf numFmtId="0" fontId="26" fillId="0" borderId="16" xfId="0" applyFont="1" applyFill="1" applyBorder="1" applyAlignment="1"/>
    <xf numFmtId="0" fontId="20" fillId="0" borderId="1" xfId="0" applyFont="1" applyFill="1" applyBorder="1" applyAlignment="1">
      <alignment horizontal="center" vertical="top" wrapText="1"/>
    </xf>
    <xf numFmtId="0" fontId="20" fillId="0" borderId="1" xfId="0" applyFont="1" applyFill="1" applyBorder="1" applyAlignment="1">
      <alignment horizontal="center" vertical="top"/>
    </xf>
    <xf numFmtId="0" fontId="20" fillId="0" borderId="13" xfId="0" applyFont="1" applyFill="1" applyBorder="1" applyAlignment="1">
      <alignment horizontal="center" vertical="top"/>
    </xf>
    <xf numFmtId="0" fontId="20" fillId="0" borderId="3" xfId="0" applyFont="1" applyFill="1" applyBorder="1" applyAlignment="1">
      <alignment horizontal="center" vertical="top"/>
    </xf>
    <xf numFmtId="0" fontId="9" fillId="0" borderId="5" xfId="0" applyFont="1" applyFill="1" applyBorder="1" applyAlignment="1">
      <alignment vertical="top" wrapText="1"/>
    </xf>
    <xf numFmtId="0" fontId="9" fillId="0" borderId="5" xfId="0" applyFont="1" applyBorder="1" applyAlignment="1">
      <alignment vertical="top" wrapText="1"/>
    </xf>
    <xf numFmtId="0" fontId="20" fillId="5" borderId="1" xfId="0" applyNumberFormat="1" applyFont="1" applyFill="1" applyBorder="1" applyAlignment="1">
      <alignment horizontal="center" vertical="center"/>
    </xf>
    <xf numFmtId="0" fontId="20" fillId="5" borderId="17" xfId="0" applyNumberFormat="1" applyFont="1" applyFill="1" applyBorder="1" applyAlignment="1">
      <alignment horizontal="center" vertical="center" wrapText="1"/>
    </xf>
    <xf numFmtId="0" fontId="20" fillId="5" borderId="15" xfId="0" applyNumberFormat="1" applyFont="1" applyFill="1" applyBorder="1" applyAlignment="1">
      <alignment horizontal="center" vertical="center"/>
    </xf>
    <xf numFmtId="0" fontId="20" fillId="5" borderId="6" xfId="0" applyNumberFormat="1" applyFont="1" applyFill="1" applyBorder="1" applyAlignment="1">
      <alignment horizontal="center" vertical="center"/>
    </xf>
    <xf numFmtId="0" fontId="20" fillId="5" borderId="6" xfId="0" applyFont="1" applyFill="1" applyBorder="1" applyAlignment="1">
      <alignment horizontal="center" vertical="center"/>
    </xf>
    <xf numFmtId="0" fontId="20" fillId="5" borderId="26" xfId="0" applyFont="1" applyFill="1" applyBorder="1" applyAlignment="1">
      <alignment horizontal="center" vertical="center"/>
    </xf>
    <xf numFmtId="0" fontId="20" fillId="5" borderId="7" xfId="0" applyFont="1" applyFill="1" applyBorder="1" applyAlignment="1">
      <alignment horizontal="center" vertical="center"/>
    </xf>
    <xf numFmtId="0" fontId="20" fillId="5" borderId="20" xfId="0" applyNumberFormat="1" applyFont="1" applyFill="1" applyBorder="1" applyAlignment="1">
      <alignment horizontal="center" vertical="center" wrapText="1"/>
    </xf>
    <xf numFmtId="0" fontId="20" fillId="5" borderId="21" xfId="0" applyNumberFormat="1" applyFont="1" applyFill="1" applyBorder="1" applyAlignment="1">
      <alignment wrapText="1"/>
    </xf>
    <xf numFmtId="0" fontId="20" fillId="5" borderId="25" xfId="0" applyNumberFormat="1" applyFont="1" applyFill="1" applyBorder="1" applyAlignment="1">
      <alignment horizontal="center" vertical="center" wrapText="1"/>
    </xf>
    <xf numFmtId="0" fontId="20" fillId="5" borderId="24" xfId="0" applyNumberFormat="1" applyFont="1" applyFill="1" applyBorder="1" applyAlignment="1">
      <alignment wrapText="1"/>
    </xf>
    <xf numFmtId="0" fontId="20" fillId="5" borderId="22" xfId="0" applyNumberFormat="1" applyFont="1" applyFill="1" applyBorder="1" applyAlignment="1">
      <alignment horizontal="center" vertical="center" wrapText="1"/>
    </xf>
    <xf numFmtId="0" fontId="20" fillId="5" borderId="23" xfId="0" applyNumberFormat="1" applyFont="1" applyFill="1" applyBorder="1" applyAlignment="1">
      <alignment wrapText="1"/>
    </xf>
    <xf numFmtId="0" fontId="20" fillId="5" borderId="11" xfId="0" applyNumberFormat="1" applyFont="1" applyFill="1" applyBorder="1" applyAlignment="1">
      <alignment horizontal="center" vertical="center"/>
    </xf>
    <xf numFmtId="0" fontId="20" fillId="5" borderId="2" xfId="0" applyNumberFormat="1" applyFont="1" applyFill="1" applyBorder="1" applyAlignment="1">
      <alignment horizontal="center" vertical="center"/>
    </xf>
    <xf numFmtId="0" fontId="26" fillId="5" borderId="18" xfId="0" applyFont="1" applyFill="1" applyBorder="1" applyAlignment="1">
      <alignment horizontal="center" vertical="top" wrapText="1"/>
    </xf>
    <xf numFmtId="0" fontId="26" fillId="5" borderId="19" xfId="0" applyFont="1" applyFill="1" applyBorder="1" applyAlignment="1">
      <alignment horizontal="center" vertical="top" wrapText="1"/>
    </xf>
    <xf numFmtId="0" fontId="26" fillId="5" borderId="19" xfId="0" applyFont="1" applyFill="1" applyBorder="1"/>
    <xf numFmtId="0" fontId="26" fillId="5" borderId="28" xfId="0" applyFont="1" applyFill="1" applyBorder="1"/>
    <xf numFmtId="0" fontId="20" fillId="5" borderId="13" xfId="0" applyFont="1" applyFill="1" applyBorder="1" applyAlignment="1">
      <alignment horizontal="center" vertical="top" wrapText="1"/>
    </xf>
    <xf numFmtId="0" fontId="20" fillId="5" borderId="14" xfId="0" applyFont="1" applyFill="1" applyBorder="1" applyAlignment="1">
      <alignment horizontal="center" vertical="top"/>
    </xf>
    <xf numFmtId="0" fontId="20" fillId="5" borderId="14" xfId="0" applyFont="1" applyFill="1" applyBorder="1"/>
    <xf numFmtId="0" fontId="20" fillId="5" borderId="4" xfId="0" applyFont="1" applyFill="1" applyBorder="1"/>
    <xf numFmtId="0" fontId="26" fillId="5" borderId="15" xfId="0" applyFont="1" applyFill="1" applyBorder="1" applyAlignment="1">
      <alignment horizontal="center" vertical="top" wrapText="1"/>
    </xf>
    <xf numFmtId="0" fontId="26" fillId="5" borderId="15" xfId="0" applyFont="1" applyFill="1" applyBorder="1" applyAlignment="1"/>
    <xf numFmtId="0" fontId="26" fillId="5" borderId="18" xfId="0" applyFont="1" applyFill="1" applyBorder="1" applyAlignment="1"/>
    <xf numFmtId="0" fontId="26" fillId="5" borderId="16" xfId="0" applyFont="1" applyFill="1" applyBorder="1" applyAlignment="1"/>
    <xf numFmtId="0" fontId="20" fillId="5" borderId="1" xfId="0" applyFont="1" applyFill="1" applyBorder="1" applyAlignment="1">
      <alignment horizontal="center" vertical="top" wrapText="1"/>
    </xf>
    <xf numFmtId="0" fontId="20" fillId="5" borderId="1" xfId="0" applyFont="1" applyFill="1" applyBorder="1" applyAlignment="1">
      <alignment horizontal="center" vertical="top"/>
    </xf>
    <xf numFmtId="0" fontId="20" fillId="5" borderId="13" xfId="0" applyFont="1" applyFill="1" applyBorder="1" applyAlignment="1">
      <alignment horizontal="center" vertical="top"/>
    </xf>
    <xf numFmtId="0" fontId="20" fillId="5" borderId="3" xfId="0" applyFont="1" applyFill="1" applyBorder="1" applyAlignment="1">
      <alignment horizontal="center" vertical="top"/>
    </xf>
    <xf numFmtId="0" fontId="31" fillId="0" borderId="5" xfId="0" applyFont="1" applyFill="1" applyBorder="1" applyAlignment="1">
      <alignment vertical="top" wrapText="1"/>
    </xf>
    <xf numFmtId="0" fontId="27" fillId="0" borderId="15" xfId="0" applyFont="1" applyFill="1" applyBorder="1" applyAlignment="1">
      <alignment horizontal="center" vertical="top" wrapText="1"/>
    </xf>
    <xf numFmtId="0" fontId="27" fillId="0" borderId="15" xfId="0" applyFont="1" applyFill="1" applyBorder="1" applyAlignment="1"/>
    <xf numFmtId="0" fontId="27" fillId="0" borderId="18" xfId="0" applyFont="1" applyFill="1" applyBorder="1" applyAlignment="1"/>
    <xf numFmtId="0" fontId="27" fillId="0" borderId="16" xfId="0" applyFont="1" applyFill="1" applyBorder="1" applyAlignment="1"/>
    <xf numFmtId="0" fontId="27" fillId="0" borderId="18" xfId="0" applyFont="1" applyFill="1" applyBorder="1" applyAlignment="1">
      <alignment horizontal="center" vertical="top" wrapText="1"/>
    </xf>
    <xf numFmtId="0" fontId="27" fillId="0" borderId="19" xfId="0" applyFont="1" applyFill="1" applyBorder="1" applyAlignment="1">
      <alignment horizontal="center" vertical="top" wrapText="1"/>
    </xf>
    <xf numFmtId="0" fontId="27" fillId="0" borderId="19" xfId="0" applyFont="1" applyFill="1" applyBorder="1"/>
    <xf numFmtId="0" fontId="27" fillId="0" borderId="28" xfId="0" applyFont="1" applyFill="1" applyBorder="1"/>
    <xf numFmtId="0" fontId="3" fillId="0" borderId="0" xfId="0" applyFont="1" applyAlignment="1">
      <alignment horizontal="center" vertical="center"/>
    </xf>
    <xf numFmtId="0" fontId="20" fillId="0" borderId="0" xfId="0" applyFont="1" applyAlignment="1">
      <alignment horizontal="center" vertical="center"/>
    </xf>
    <xf numFmtId="0" fontId="27" fillId="5" borderId="15" xfId="0" applyFont="1" applyFill="1" applyBorder="1" applyAlignment="1">
      <alignment horizontal="center" vertical="top" wrapText="1"/>
    </xf>
    <xf numFmtId="0" fontId="27" fillId="5" borderId="15" xfId="0" applyFont="1" applyFill="1" applyBorder="1" applyAlignment="1"/>
    <xf numFmtId="0" fontId="27" fillId="5" borderId="18" xfId="0" applyFont="1" applyFill="1" applyBorder="1" applyAlignment="1"/>
    <xf numFmtId="0" fontId="27" fillId="5" borderId="16" xfId="0" applyFont="1" applyFill="1" applyBorder="1" applyAlignment="1"/>
    <xf numFmtId="0" fontId="27" fillId="5" borderId="18" xfId="0" applyFont="1" applyFill="1" applyBorder="1" applyAlignment="1">
      <alignment horizontal="center" vertical="top" wrapText="1"/>
    </xf>
    <xf numFmtId="0" fontId="27" fillId="5" borderId="19" xfId="0" applyFont="1" applyFill="1" applyBorder="1" applyAlignment="1">
      <alignment horizontal="center" vertical="top" wrapText="1"/>
    </xf>
    <xf numFmtId="0" fontId="27" fillId="5" borderId="19" xfId="0" applyFont="1" applyFill="1" applyBorder="1"/>
    <xf numFmtId="0" fontId="27" fillId="5" borderId="28" xfId="0" applyFont="1" applyFill="1" applyBorder="1"/>
    <xf numFmtId="3" fontId="23" fillId="0" borderId="1" xfId="0" applyNumberFormat="1" applyFont="1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23" fillId="0" borderId="1" xfId="0" applyNumberFormat="1" applyFont="1" applyFill="1" applyBorder="1" applyAlignment="1">
      <alignment horizontal="center" vertical="center"/>
    </xf>
    <xf numFmtId="0" fontId="20" fillId="0" borderId="3" xfId="0" applyFont="1" applyFill="1" applyBorder="1" applyAlignment="1">
      <alignment horizontal="center" vertical="top" wrapText="1"/>
    </xf>
    <xf numFmtId="0" fontId="27" fillId="0" borderId="15" xfId="0" applyFont="1" applyFill="1" applyBorder="1"/>
    <xf numFmtId="0" fontId="20" fillId="0" borderId="1" xfId="0" applyFont="1" applyFill="1" applyBorder="1"/>
    <xf numFmtId="0" fontId="5" fillId="0" borderId="11" xfId="0" applyFont="1" applyBorder="1" applyAlignment="1">
      <alignment horizontal="center" vertical="center"/>
    </xf>
    <xf numFmtId="0" fontId="5" fillId="0" borderId="12" xfId="0" applyFont="1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0" fontId="5" fillId="0" borderId="13" xfId="0" applyFont="1" applyBorder="1" applyAlignment="1">
      <alignment horizontal="center" vertical="center" wrapText="1"/>
    </xf>
    <xf numFmtId="0" fontId="5" fillId="0" borderId="14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19" fillId="0" borderId="0" xfId="0" applyFont="1" applyAlignment="1">
      <alignment horizontal="center" vertical="center"/>
    </xf>
    <xf numFmtId="0" fontId="20" fillId="0" borderId="20" xfId="0" applyFont="1" applyBorder="1" applyAlignment="1">
      <alignment horizontal="center" vertical="center" wrapText="1"/>
    </xf>
    <xf numFmtId="0" fontId="20" fillId="0" borderId="21" xfId="0" applyFont="1" applyBorder="1" applyAlignment="1">
      <alignment wrapText="1"/>
    </xf>
    <xf numFmtId="0" fontId="20" fillId="0" borderId="22" xfId="0" applyFont="1" applyBorder="1" applyAlignment="1">
      <alignment horizontal="center" vertical="center" wrapText="1"/>
    </xf>
    <xf numFmtId="0" fontId="20" fillId="0" borderId="23" xfId="0" applyFont="1" applyBorder="1" applyAlignment="1">
      <alignment wrapText="1"/>
    </xf>
    <xf numFmtId="0" fontId="5" fillId="0" borderId="13" xfId="0" applyFont="1" applyBorder="1" applyAlignment="1">
      <alignment horizontal="center" vertical="center"/>
    </xf>
    <xf numFmtId="0" fontId="5" fillId="0" borderId="5" xfId="0" applyFont="1" applyBorder="1" applyAlignment="1">
      <alignment vertical="top" wrapText="1"/>
    </xf>
    <xf numFmtId="0" fontId="5" fillId="5" borderId="6" xfId="0" applyFont="1" applyFill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26" fillId="0" borderId="15" xfId="0" applyFont="1" applyBorder="1" applyAlignment="1">
      <alignment horizontal="center" vertical="top" wrapText="1"/>
    </xf>
    <xf numFmtId="0" fontId="26" fillId="0" borderId="16" xfId="0" applyFont="1" applyBorder="1" applyAlignment="1">
      <alignment horizontal="center" vertical="top" wrapText="1"/>
    </xf>
    <xf numFmtId="0" fontId="20" fillId="0" borderId="1" xfId="0" applyFont="1" applyBorder="1" applyAlignment="1">
      <alignment horizontal="center" vertical="top" wrapText="1"/>
    </xf>
    <xf numFmtId="0" fontId="20" fillId="0" borderId="3" xfId="0" applyFont="1" applyBorder="1" applyAlignment="1">
      <alignment horizontal="center" vertical="top" wrapText="1"/>
    </xf>
    <xf numFmtId="0" fontId="20" fillId="0" borderId="17" xfId="0" applyFont="1" applyBorder="1" applyAlignment="1">
      <alignment horizontal="center" vertical="center" wrapText="1"/>
    </xf>
    <xf numFmtId="0" fontId="20" fillId="0" borderId="15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top" wrapText="1"/>
    </xf>
    <xf numFmtId="0" fontId="5" fillId="0" borderId="13" xfId="0" applyFont="1" applyBorder="1" applyAlignment="1">
      <alignment horizontal="center" vertical="top" wrapText="1"/>
    </xf>
    <xf numFmtId="0" fontId="5" fillId="0" borderId="14" xfId="0" applyFont="1" applyBorder="1" applyAlignment="1">
      <alignment horizontal="center" vertical="top" wrapText="1"/>
    </xf>
    <xf numFmtId="0" fontId="5" fillId="0" borderId="4" xfId="0" applyFont="1" applyBorder="1" applyAlignment="1">
      <alignment horizontal="center" vertical="top" wrapText="1"/>
    </xf>
  </cellXfs>
  <cellStyles count="14">
    <cellStyle name="一般" xfId="0" builtinId="0"/>
    <cellStyle name="一般 10" xfId="11" xr:uid="{F54CA6DB-82BC-4D7C-8FD7-8C743A10BC95}"/>
    <cellStyle name="一般 11" xfId="12" xr:uid="{6C1CF490-C595-4892-9CE6-C55EFB3CBCC7}"/>
    <cellStyle name="一般 12" xfId="13" xr:uid="{6DBC0162-90CD-404F-96E5-6E42800E764D}"/>
    <cellStyle name="一般 2" xfId="1" xr:uid="{00000000-0005-0000-0000-000001000000}"/>
    <cellStyle name="一般 2 2" xfId="3" xr:uid="{6891A375-FAA8-42E7-AFA8-DEC3D1B01777}"/>
    <cellStyle name="一般 3" xfId="4" xr:uid="{B3469AD9-2C98-4796-B717-1EAC865455FA}"/>
    <cellStyle name="一般 4" xfId="5" xr:uid="{0651D89A-B867-41F1-AA57-E306FD9F55EB}"/>
    <cellStyle name="一般 5" xfId="6" xr:uid="{5945CF7C-C02F-4DE8-9F17-D5E9C72F0D95}"/>
    <cellStyle name="一般 6" xfId="7" xr:uid="{321C4AAD-CDAE-42C6-85B9-B37949237447}"/>
    <cellStyle name="一般 7" xfId="8" xr:uid="{43A1F317-7788-46B4-B3CE-31803C7618FC}"/>
    <cellStyle name="一般 8" xfId="9" xr:uid="{5BAFC8F0-001E-44BC-8273-F6BA7335E968}"/>
    <cellStyle name="一般 9" xfId="10" xr:uid="{507DD48C-CD09-49AA-BD6C-B633E50418B4}"/>
    <cellStyle name="千分位 2" xfId="2" xr:uid="{3763FC25-9BB3-4DFF-ABBF-3B2684892D63}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9649966-6623-4E65-A4AA-5AF78AF3B3BF}">
  <dimension ref="A1:AV39"/>
  <sheetViews>
    <sheetView tabSelected="1" view="pageBreakPreview" zoomScale="80" zoomScaleNormal="80" zoomScaleSheetLayoutView="80" workbookViewId="0">
      <selection activeCell="A2" sqref="A2"/>
    </sheetView>
  </sheetViews>
  <sheetFormatPr defaultColWidth="9" defaultRowHeight="16.5"/>
  <cols>
    <col min="1" max="1" width="5.625" style="54" customWidth="1"/>
    <col min="2" max="2" width="3.5" style="54" customWidth="1"/>
    <col min="3" max="3" width="9.5" style="55" customWidth="1"/>
    <col min="4" max="4" width="8.25" style="53" customWidth="1"/>
    <col min="5" max="5" width="6.375" style="53" customWidth="1"/>
    <col min="6" max="6" width="12.75" style="53" customWidth="1"/>
    <col min="7" max="7" width="8.25" style="53" customWidth="1"/>
    <col min="8" max="8" width="6.25" style="53" customWidth="1"/>
    <col min="9" max="9" width="12" style="53" customWidth="1"/>
    <col min="10" max="10" width="8.25" style="53" customWidth="1"/>
    <col min="11" max="11" width="6.25" style="53" customWidth="1"/>
    <col min="12" max="12" width="12" style="53" customWidth="1"/>
    <col min="13" max="13" width="5.625" style="53" customWidth="1"/>
    <col min="14" max="14" width="3.5" style="53" customWidth="1"/>
    <col min="15" max="15" width="9.375" style="56" customWidth="1"/>
    <col min="16" max="16" width="6.75" style="53" customWidth="1"/>
    <col min="17" max="17" width="8" style="53" customWidth="1"/>
    <col min="18" max="18" width="12.5" style="53" customWidth="1"/>
    <col min="19" max="19" width="6.75" style="53" customWidth="1"/>
    <col min="20" max="20" width="7.375" style="53" customWidth="1"/>
    <col min="21" max="21" width="12.5" style="53" customWidth="1"/>
    <col min="22" max="22" width="6.75" style="53" customWidth="1"/>
    <col min="23" max="23" width="7.375" style="53" customWidth="1"/>
    <col min="24" max="24" width="12.5" style="53" customWidth="1"/>
    <col min="25" max="25" width="6.625" style="53" customWidth="1"/>
    <col min="26" max="26" width="4.625" style="53" customWidth="1"/>
    <col min="27" max="27" width="9.375" style="56" customWidth="1"/>
    <col min="28" max="28" width="7.5" style="53" customWidth="1"/>
    <col min="29" max="29" width="7.25" style="53" customWidth="1"/>
    <col min="30" max="30" width="10.75" style="53" customWidth="1"/>
    <col min="31" max="31" width="7.5" style="53" customWidth="1"/>
    <col min="32" max="32" width="7.25" style="53" customWidth="1"/>
    <col min="33" max="33" width="10.75" style="53" customWidth="1"/>
    <col min="34" max="34" width="7.5" style="53" customWidth="1"/>
    <col min="35" max="35" width="7.25" style="53" customWidth="1"/>
    <col min="36" max="36" width="10.75" style="53" customWidth="1"/>
    <col min="37" max="37" width="6.625" style="53" customWidth="1"/>
    <col min="38" max="38" width="4.625" style="53" customWidth="1"/>
    <col min="39" max="39" width="9.375" style="56" customWidth="1"/>
    <col min="40" max="40" width="8.5" style="53" customWidth="1"/>
    <col min="41" max="41" width="6.75" style="53" customWidth="1"/>
    <col min="42" max="42" width="10.75" style="53" customWidth="1"/>
    <col min="43" max="43" width="8.5" style="53" customWidth="1"/>
    <col min="44" max="44" width="6.75" style="53" customWidth="1"/>
    <col min="45" max="45" width="10.75" style="53" customWidth="1"/>
    <col min="46" max="46" width="8.5" style="53" customWidth="1"/>
    <col min="47" max="47" width="6.75" style="53" customWidth="1"/>
    <col min="48" max="48" width="10.75" style="53" customWidth="1"/>
    <col min="49" max="16384" width="9" style="53"/>
  </cols>
  <sheetData>
    <row r="1" spans="1:48" ht="24" customHeight="1">
      <c r="A1" s="112" t="s">
        <v>121</v>
      </c>
      <c r="B1" s="113"/>
      <c r="C1" s="113"/>
      <c r="D1" s="113"/>
      <c r="E1" s="113"/>
      <c r="F1" s="113"/>
      <c r="G1" s="113"/>
      <c r="H1" s="113"/>
      <c r="I1" s="113"/>
      <c r="J1" s="113"/>
      <c r="K1" s="113"/>
      <c r="L1" s="113"/>
      <c r="M1" s="112" t="s">
        <v>119</v>
      </c>
      <c r="N1" s="113"/>
      <c r="O1" s="113"/>
      <c r="P1" s="113"/>
      <c r="Q1" s="113"/>
      <c r="R1" s="113"/>
      <c r="S1" s="113"/>
      <c r="T1" s="113"/>
      <c r="U1" s="113"/>
      <c r="V1" s="113"/>
      <c r="W1" s="113"/>
      <c r="X1" s="113"/>
      <c r="Y1" s="112" t="s">
        <v>123</v>
      </c>
      <c r="Z1" s="113"/>
      <c r="AA1" s="113"/>
      <c r="AB1" s="113"/>
      <c r="AC1" s="113"/>
      <c r="AD1" s="113"/>
      <c r="AE1" s="113"/>
      <c r="AF1" s="113"/>
      <c r="AG1" s="113"/>
      <c r="AH1" s="113"/>
      <c r="AI1" s="113"/>
      <c r="AJ1" s="113"/>
      <c r="AK1" s="112" t="s">
        <v>122</v>
      </c>
      <c r="AL1" s="113"/>
      <c r="AM1" s="113"/>
      <c r="AN1" s="113"/>
      <c r="AO1" s="113"/>
      <c r="AP1" s="113"/>
      <c r="AQ1" s="113"/>
      <c r="AR1" s="113"/>
      <c r="AS1" s="113"/>
      <c r="AT1" s="113"/>
      <c r="AU1" s="113"/>
      <c r="AV1" s="113"/>
    </row>
    <row r="2" spans="1:48" ht="18" customHeight="1" thickBot="1">
      <c r="AM2" s="57"/>
      <c r="AN2" s="58"/>
      <c r="AO2" s="58"/>
    </row>
    <row r="3" spans="1:48" s="96" customFormat="1" ht="27" customHeight="1">
      <c r="A3" s="100" t="s">
        <v>62</v>
      </c>
      <c r="B3" s="106" t="s">
        <v>52</v>
      </c>
      <c r="C3" s="107"/>
      <c r="D3" s="102" t="s">
        <v>204</v>
      </c>
      <c r="E3" s="102"/>
      <c r="F3" s="103"/>
      <c r="G3" s="103"/>
      <c r="H3" s="103"/>
      <c r="I3" s="103"/>
      <c r="J3" s="103"/>
      <c r="K3" s="104"/>
      <c r="L3" s="105"/>
      <c r="M3" s="100" t="s">
        <v>62</v>
      </c>
      <c r="N3" s="106" t="s">
        <v>52</v>
      </c>
      <c r="O3" s="107"/>
      <c r="P3" s="102" t="str">
        <f>D3</f>
        <v>112年</v>
      </c>
      <c r="Q3" s="102"/>
      <c r="R3" s="103"/>
      <c r="S3" s="103"/>
      <c r="T3" s="103"/>
      <c r="U3" s="103"/>
      <c r="V3" s="103"/>
      <c r="W3" s="104"/>
      <c r="X3" s="105"/>
      <c r="Y3" s="100" t="s">
        <v>62</v>
      </c>
      <c r="Z3" s="106" t="s">
        <v>52</v>
      </c>
      <c r="AA3" s="107"/>
      <c r="AB3" s="102" t="str">
        <f>D3</f>
        <v>112年</v>
      </c>
      <c r="AC3" s="102"/>
      <c r="AD3" s="103"/>
      <c r="AE3" s="103"/>
      <c r="AF3" s="103"/>
      <c r="AG3" s="103"/>
      <c r="AH3" s="103"/>
      <c r="AI3" s="104"/>
      <c r="AJ3" s="105"/>
      <c r="AK3" s="100" t="s">
        <v>62</v>
      </c>
      <c r="AL3" s="106" t="s">
        <v>52</v>
      </c>
      <c r="AM3" s="107"/>
      <c r="AN3" s="102" t="str">
        <f>D3</f>
        <v>112年</v>
      </c>
      <c r="AO3" s="102"/>
      <c r="AP3" s="103"/>
      <c r="AQ3" s="103"/>
      <c r="AR3" s="103"/>
      <c r="AS3" s="103"/>
      <c r="AT3" s="103"/>
      <c r="AU3" s="104"/>
      <c r="AV3" s="105"/>
    </row>
    <row r="4" spans="1:48" s="96" customFormat="1" ht="27" customHeight="1">
      <c r="A4" s="101"/>
      <c r="B4" s="108"/>
      <c r="C4" s="109"/>
      <c r="D4" s="99" t="s">
        <v>12</v>
      </c>
      <c r="E4" s="99"/>
      <c r="F4" s="99"/>
      <c r="G4" s="99" t="s">
        <v>13</v>
      </c>
      <c r="H4" s="99"/>
      <c r="I4" s="99"/>
      <c r="J4" s="99" t="s">
        <v>14</v>
      </c>
      <c r="K4" s="114"/>
      <c r="L4" s="115"/>
      <c r="M4" s="101"/>
      <c r="N4" s="108"/>
      <c r="O4" s="109"/>
      <c r="P4" s="99" t="s">
        <v>12</v>
      </c>
      <c r="Q4" s="99"/>
      <c r="R4" s="99"/>
      <c r="S4" s="99" t="s">
        <v>13</v>
      </c>
      <c r="T4" s="99"/>
      <c r="U4" s="99"/>
      <c r="V4" s="99" t="s">
        <v>14</v>
      </c>
      <c r="W4" s="114"/>
      <c r="X4" s="115"/>
      <c r="Y4" s="101"/>
      <c r="Z4" s="108"/>
      <c r="AA4" s="109"/>
      <c r="AB4" s="99" t="s">
        <v>12</v>
      </c>
      <c r="AC4" s="99"/>
      <c r="AD4" s="99"/>
      <c r="AE4" s="99" t="s">
        <v>13</v>
      </c>
      <c r="AF4" s="99"/>
      <c r="AG4" s="99"/>
      <c r="AH4" s="99" t="s">
        <v>14</v>
      </c>
      <c r="AI4" s="114"/>
      <c r="AJ4" s="115"/>
      <c r="AK4" s="101"/>
      <c r="AL4" s="108"/>
      <c r="AM4" s="109"/>
      <c r="AN4" s="99" t="s">
        <v>12</v>
      </c>
      <c r="AO4" s="99"/>
      <c r="AP4" s="99"/>
      <c r="AQ4" s="99" t="s">
        <v>13</v>
      </c>
      <c r="AR4" s="99"/>
      <c r="AS4" s="99"/>
      <c r="AT4" s="99" t="s">
        <v>14</v>
      </c>
      <c r="AU4" s="114"/>
      <c r="AV4" s="115"/>
    </row>
    <row r="5" spans="1:48" ht="49.5">
      <c r="A5" s="101"/>
      <c r="B5" s="110"/>
      <c r="C5" s="111"/>
      <c r="D5" s="60" t="s">
        <v>124</v>
      </c>
      <c r="E5" s="97" t="s">
        <v>15</v>
      </c>
      <c r="F5" s="97" t="s">
        <v>16</v>
      </c>
      <c r="G5" s="60" t="s">
        <v>124</v>
      </c>
      <c r="H5" s="97" t="s">
        <v>15</v>
      </c>
      <c r="I5" s="97" t="s">
        <v>16</v>
      </c>
      <c r="J5" s="60" t="s">
        <v>124</v>
      </c>
      <c r="K5" s="97" t="s">
        <v>15</v>
      </c>
      <c r="L5" s="98" t="s">
        <v>16</v>
      </c>
      <c r="M5" s="101"/>
      <c r="N5" s="110"/>
      <c r="O5" s="111"/>
      <c r="P5" s="60" t="s">
        <v>166</v>
      </c>
      <c r="Q5" s="60" t="s">
        <v>181</v>
      </c>
      <c r="R5" s="97" t="s">
        <v>16</v>
      </c>
      <c r="S5" s="60" t="s">
        <v>166</v>
      </c>
      <c r="T5" s="60" t="s">
        <v>181</v>
      </c>
      <c r="U5" s="97" t="s">
        <v>16</v>
      </c>
      <c r="V5" s="60" t="s">
        <v>166</v>
      </c>
      <c r="W5" s="60" t="s">
        <v>181</v>
      </c>
      <c r="X5" s="98" t="s">
        <v>16</v>
      </c>
      <c r="Y5" s="101"/>
      <c r="Z5" s="110"/>
      <c r="AA5" s="111"/>
      <c r="AB5" s="60" t="s">
        <v>124</v>
      </c>
      <c r="AC5" s="97" t="s">
        <v>15</v>
      </c>
      <c r="AD5" s="97" t="s">
        <v>16</v>
      </c>
      <c r="AE5" s="60" t="s">
        <v>124</v>
      </c>
      <c r="AF5" s="97" t="s">
        <v>15</v>
      </c>
      <c r="AG5" s="97" t="s">
        <v>16</v>
      </c>
      <c r="AH5" s="60" t="s">
        <v>124</v>
      </c>
      <c r="AI5" s="97" t="s">
        <v>15</v>
      </c>
      <c r="AJ5" s="98" t="s">
        <v>16</v>
      </c>
      <c r="AK5" s="101"/>
      <c r="AL5" s="110"/>
      <c r="AM5" s="111"/>
      <c r="AN5" s="60" t="s">
        <v>124</v>
      </c>
      <c r="AO5" s="97" t="s">
        <v>15</v>
      </c>
      <c r="AP5" s="97" t="s">
        <v>16</v>
      </c>
      <c r="AQ5" s="60" t="s">
        <v>124</v>
      </c>
      <c r="AR5" s="97" t="s">
        <v>15</v>
      </c>
      <c r="AS5" s="97" t="s">
        <v>16</v>
      </c>
      <c r="AT5" s="60" t="s">
        <v>124</v>
      </c>
      <c r="AU5" s="97" t="s">
        <v>15</v>
      </c>
      <c r="AV5" s="98" t="s">
        <v>16</v>
      </c>
    </row>
    <row r="6" spans="1:48" ht="24" customHeight="1">
      <c r="A6" s="116" t="s">
        <v>145</v>
      </c>
      <c r="B6" s="120" t="s">
        <v>17</v>
      </c>
      <c r="C6" s="63" t="s">
        <v>76</v>
      </c>
      <c r="D6" s="64">
        <f t="shared" ref="D6:D38" si="0">F6/E6</f>
        <v>1323768.7729690783</v>
      </c>
      <c r="E6" s="64">
        <f>SUM(E7:E28)</f>
        <v>65229</v>
      </c>
      <c r="F6" s="64">
        <f>SUM(F7:F28)</f>
        <v>86348113292</v>
      </c>
      <c r="G6" s="64">
        <f>I6/H6</f>
        <v>1348829.682054972</v>
      </c>
      <c r="H6" s="64">
        <f t="shared" ref="H6:L6" si="1">SUM(H7:H28)</f>
        <v>34745</v>
      </c>
      <c r="I6" s="64">
        <f t="shared" si="1"/>
        <v>46865087303</v>
      </c>
      <c r="J6" s="64">
        <f t="shared" ref="J6:J38" si="2">L6/K6</f>
        <v>1295204.8940099725</v>
      </c>
      <c r="K6" s="64">
        <f t="shared" ref="K6" si="3">SUM(K7:K28)</f>
        <v>30484</v>
      </c>
      <c r="L6" s="65">
        <f t="shared" si="1"/>
        <v>39483025989</v>
      </c>
      <c r="M6" s="116" t="s">
        <v>146</v>
      </c>
      <c r="N6" s="120" t="s">
        <v>17</v>
      </c>
      <c r="O6" s="63" t="s">
        <v>76</v>
      </c>
      <c r="P6" s="64">
        <f>R6/Q6/12</f>
        <v>18669.857488556609</v>
      </c>
      <c r="Q6" s="64">
        <v>1675917.58</v>
      </c>
      <c r="R6" s="64">
        <f>U6+X6</f>
        <v>375469708574</v>
      </c>
      <c r="S6" s="64">
        <f>U6/T6/12</f>
        <v>19970.022312834422</v>
      </c>
      <c r="T6" s="64">
        <v>771193.67</v>
      </c>
      <c r="U6" s="64">
        <f>SUM(U7:U28)+(0)</f>
        <v>184809057569</v>
      </c>
      <c r="V6" s="66">
        <f>X6/W6/12</f>
        <v>17561.586725539433</v>
      </c>
      <c r="W6" s="64">
        <v>904723.92</v>
      </c>
      <c r="X6" s="65">
        <f>SUM(X7:X28)+(30200)</f>
        <v>190660651005</v>
      </c>
      <c r="Y6" s="116" t="s">
        <v>149</v>
      </c>
      <c r="Z6" s="120" t="s">
        <v>17</v>
      </c>
      <c r="AA6" s="63" t="s">
        <v>76</v>
      </c>
      <c r="AB6" s="64">
        <f>AD6/AC6</f>
        <v>90104.153596744974</v>
      </c>
      <c r="AC6" s="64">
        <f>AF6+AI6</f>
        <v>31459</v>
      </c>
      <c r="AD6" s="64">
        <f>AG6+AJ6</f>
        <v>2834586568</v>
      </c>
      <c r="AE6" s="64">
        <f>AG6/AF6</f>
        <v>96410.813969069291</v>
      </c>
      <c r="AF6" s="64">
        <f>SUM(AF7:AF28)+(1)</f>
        <v>17911</v>
      </c>
      <c r="AG6" s="64">
        <f>SUM(AG7:AG28)+(392)</f>
        <v>1726814089</v>
      </c>
      <c r="AH6" s="64">
        <f>AJ6/AI6</f>
        <v>81766.495349867138</v>
      </c>
      <c r="AI6" s="64">
        <f>SUM(AI7:AI28)+(1)</f>
        <v>13548</v>
      </c>
      <c r="AJ6" s="65">
        <f>SUM(AJ7:AJ28)+(173)</f>
        <v>1107772479</v>
      </c>
      <c r="AK6" s="116" t="s">
        <v>151</v>
      </c>
      <c r="AL6" s="120" t="s">
        <v>17</v>
      </c>
      <c r="AM6" s="63" t="s">
        <v>76</v>
      </c>
      <c r="AN6" s="64">
        <f>AP6/AO6</f>
        <v>756666.5205826473</v>
      </c>
      <c r="AO6" s="64">
        <f>SUM(AO7:AO28)</f>
        <v>4737</v>
      </c>
      <c r="AP6" s="64">
        <f>SUM(AP7:AP28)</f>
        <v>3584329308</v>
      </c>
      <c r="AQ6" s="64">
        <f>AS6/AR6</f>
        <v>791570.86545576854</v>
      </c>
      <c r="AR6" s="64">
        <f t="shared" ref="AR6:AS6" si="4">SUM(AR7:AR28)</f>
        <v>2973</v>
      </c>
      <c r="AS6" s="64">
        <f t="shared" si="4"/>
        <v>2353340183</v>
      </c>
      <c r="AT6" s="64">
        <f>AV6/AU6</f>
        <v>697839.64002267574</v>
      </c>
      <c r="AU6" s="64">
        <f t="shared" ref="AU6:AV6" si="5">SUM(AU7:AU28)</f>
        <v>1764</v>
      </c>
      <c r="AV6" s="65">
        <f t="shared" si="5"/>
        <v>1230989125</v>
      </c>
    </row>
    <row r="7" spans="1:48" ht="24" customHeight="1">
      <c r="A7" s="117"/>
      <c r="B7" s="121"/>
      <c r="C7" s="63" t="s">
        <v>95</v>
      </c>
      <c r="D7" s="64">
        <f t="shared" si="0"/>
        <v>1372938.9214050069</v>
      </c>
      <c r="E7" s="64">
        <f>H7+K7</f>
        <v>10306</v>
      </c>
      <c r="F7" s="64">
        <f>I7+L7</f>
        <v>14149508524</v>
      </c>
      <c r="G7" s="64">
        <f t="shared" ref="G7:G38" si="6">I7/H7</f>
        <v>1408828.9102747056</v>
      </c>
      <c r="H7" s="64">
        <v>5606</v>
      </c>
      <c r="I7" s="64">
        <v>7897894871</v>
      </c>
      <c r="J7" s="64">
        <f t="shared" si="2"/>
        <v>1330130.5644680851</v>
      </c>
      <c r="K7" s="64">
        <v>4700</v>
      </c>
      <c r="L7" s="65">
        <v>6251613653</v>
      </c>
      <c r="M7" s="117"/>
      <c r="N7" s="121"/>
      <c r="O7" s="63" t="s">
        <v>95</v>
      </c>
      <c r="P7" s="64">
        <f t="shared" ref="P7:P28" si="7">R7/Q7/12</f>
        <v>18672.373919928905</v>
      </c>
      <c r="Q7" s="64">
        <v>250274.42</v>
      </c>
      <c r="R7" s="64">
        <f t="shared" ref="R7:R28" si="8">U7+X7</f>
        <v>56078610634</v>
      </c>
      <c r="S7" s="64">
        <f t="shared" ref="S7:S28" si="9">U7/T7/12</f>
        <v>19670.608297254705</v>
      </c>
      <c r="T7" s="64">
        <v>115162.83</v>
      </c>
      <c r="U7" s="64">
        <v>27183875032</v>
      </c>
      <c r="V7" s="66">
        <f t="shared" ref="V7:V28" si="10">X7/W7/12</f>
        <v>17821.526722579962</v>
      </c>
      <c r="W7" s="64">
        <v>135111.57999999999</v>
      </c>
      <c r="X7" s="65">
        <v>28894735602</v>
      </c>
      <c r="Y7" s="117"/>
      <c r="Z7" s="121"/>
      <c r="AA7" s="63" t="s">
        <v>95</v>
      </c>
      <c r="AB7" s="64">
        <f t="shared" ref="AB7:AB38" si="11">AD7/AC7</f>
        <v>95790.901314323899</v>
      </c>
      <c r="AC7" s="64">
        <f>AF7+AI7</f>
        <v>4489</v>
      </c>
      <c r="AD7" s="64">
        <f>AG7+AJ7</f>
        <v>430005356</v>
      </c>
      <c r="AE7" s="64">
        <f t="shared" ref="AE7:AE38" si="12">AG7/AF7</f>
        <v>102371.01214257735</v>
      </c>
      <c r="AF7" s="64">
        <v>2553</v>
      </c>
      <c r="AG7" s="64">
        <v>261353194</v>
      </c>
      <c r="AH7" s="64">
        <f t="shared" ref="AH7:AH38" si="13">AJ7/AI7</f>
        <v>87113.720041322318</v>
      </c>
      <c r="AI7" s="64">
        <v>1936</v>
      </c>
      <c r="AJ7" s="65">
        <v>168652162</v>
      </c>
      <c r="AK7" s="117"/>
      <c r="AL7" s="121"/>
      <c r="AM7" s="63" t="s">
        <v>95</v>
      </c>
      <c r="AN7" s="64">
        <f t="shared" ref="AN7:AN38" si="14">AP7/AO7</f>
        <v>787561.51</v>
      </c>
      <c r="AO7" s="64">
        <f>AR7+AU7</f>
        <v>700</v>
      </c>
      <c r="AP7" s="64">
        <f>AS7+AV7</f>
        <v>551293057</v>
      </c>
      <c r="AQ7" s="64">
        <f t="shared" ref="AQ7:AQ38" si="15">AS7/AR7</f>
        <v>835471.33033707866</v>
      </c>
      <c r="AR7" s="64">
        <v>445</v>
      </c>
      <c r="AS7" s="64">
        <v>371784742</v>
      </c>
      <c r="AT7" s="64">
        <f t="shared" ref="AT7:AT38" si="16">AV7/AU7</f>
        <v>703954.17647058819</v>
      </c>
      <c r="AU7" s="64">
        <v>255</v>
      </c>
      <c r="AV7" s="65">
        <v>179508315</v>
      </c>
    </row>
    <row r="8" spans="1:48" ht="24" customHeight="1">
      <c r="A8" s="117"/>
      <c r="B8" s="121"/>
      <c r="C8" s="63" t="s">
        <v>96</v>
      </c>
      <c r="D8" s="64">
        <f t="shared" si="0"/>
        <v>1360581.2436775777</v>
      </c>
      <c r="E8" s="64">
        <f t="shared" ref="E8:F28" si="17">H8+K8</f>
        <v>11823</v>
      </c>
      <c r="F8" s="64">
        <f t="shared" si="17"/>
        <v>16086152044</v>
      </c>
      <c r="G8" s="64">
        <f t="shared" si="6"/>
        <v>1376105.9922400415</v>
      </c>
      <c r="H8" s="64">
        <v>5799</v>
      </c>
      <c r="I8" s="64">
        <v>7980038649</v>
      </c>
      <c r="J8" s="64">
        <f t="shared" si="2"/>
        <v>1345636.3537516601</v>
      </c>
      <c r="K8" s="64">
        <v>6024</v>
      </c>
      <c r="L8" s="65">
        <v>8106113395</v>
      </c>
      <c r="M8" s="117"/>
      <c r="N8" s="121"/>
      <c r="O8" s="63" t="s">
        <v>96</v>
      </c>
      <c r="P8" s="64">
        <f t="shared" si="7"/>
        <v>19224.522042190161</v>
      </c>
      <c r="Q8" s="64">
        <v>340201.75</v>
      </c>
      <c r="R8" s="64">
        <f t="shared" si="8"/>
        <v>78482592500</v>
      </c>
      <c r="S8" s="64">
        <f t="shared" si="9"/>
        <v>20298.4483106958</v>
      </c>
      <c r="T8" s="64">
        <v>157958.92000000001</v>
      </c>
      <c r="U8" s="64">
        <v>38475851674</v>
      </c>
      <c r="V8" s="66">
        <f t="shared" si="10"/>
        <v>18293.696760708412</v>
      </c>
      <c r="W8" s="64">
        <v>182242.83</v>
      </c>
      <c r="X8" s="67">
        <v>40006740826</v>
      </c>
      <c r="Y8" s="117"/>
      <c r="Z8" s="121"/>
      <c r="AA8" s="63" t="s">
        <v>96</v>
      </c>
      <c r="AB8" s="64">
        <f t="shared" si="11"/>
        <v>84379.060342381534</v>
      </c>
      <c r="AC8" s="64">
        <f t="shared" ref="AC8:AD28" si="18">AF8+AI8</f>
        <v>10573</v>
      </c>
      <c r="AD8" s="64">
        <f t="shared" si="18"/>
        <v>892139805</v>
      </c>
      <c r="AE8" s="64">
        <f t="shared" si="12"/>
        <v>87854.733672464718</v>
      </c>
      <c r="AF8" s="64">
        <v>6094</v>
      </c>
      <c r="AG8" s="64">
        <v>535386747</v>
      </c>
      <c r="AH8" s="64">
        <f t="shared" si="13"/>
        <v>79650.15807099799</v>
      </c>
      <c r="AI8" s="64">
        <v>4479</v>
      </c>
      <c r="AJ8" s="65">
        <v>356753058</v>
      </c>
      <c r="AK8" s="117"/>
      <c r="AL8" s="121"/>
      <c r="AM8" s="63" t="s">
        <v>96</v>
      </c>
      <c r="AN8" s="64">
        <f t="shared" si="14"/>
        <v>752885.77003942186</v>
      </c>
      <c r="AO8" s="64">
        <f t="shared" ref="AO8:AP28" si="19">AR8+AU8</f>
        <v>761</v>
      </c>
      <c r="AP8" s="64">
        <f t="shared" si="19"/>
        <v>572946071</v>
      </c>
      <c r="AQ8" s="64">
        <f t="shared" si="15"/>
        <v>791591.72068230272</v>
      </c>
      <c r="AR8" s="64">
        <v>469</v>
      </c>
      <c r="AS8" s="64">
        <v>371256517</v>
      </c>
      <c r="AT8" s="64">
        <f t="shared" si="16"/>
        <v>690717.65068493155</v>
      </c>
      <c r="AU8" s="64">
        <v>292</v>
      </c>
      <c r="AV8" s="65">
        <v>201689554</v>
      </c>
    </row>
    <row r="9" spans="1:48" ht="24" customHeight="1">
      <c r="A9" s="117"/>
      <c r="B9" s="121"/>
      <c r="C9" s="63" t="s">
        <v>101</v>
      </c>
      <c r="D9" s="64">
        <f t="shared" si="0"/>
        <v>1354961.0979407332</v>
      </c>
      <c r="E9" s="64">
        <f t="shared" si="17"/>
        <v>5973</v>
      </c>
      <c r="F9" s="64">
        <f t="shared" si="17"/>
        <v>8093182638</v>
      </c>
      <c r="G9" s="64">
        <f t="shared" si="6"/>
        <v>1402043.8054885403</v>
      </c>
      <c r="H9" s="64">
        <v>3316</v>
      </c>
      <c r="I9" s="64">
        <v>4649177259</v>
      </c>
      <c r="J9" s="64">
        <f t="shared" si="2"/>
        <v>1296200.7448249906</v>
      </c>
      <c r="K9" s="64">
        <v>2657</v>
      </c>
      <c r="L9" s="65">
        <v>3444005379</v>
      </c>
      <c r="M9" s="117"/>
      <c r="N9" s="121"/>
      <c r="O9" s="63" t="s">
        <v>101</v>
      </c>
      <c r="P9" s="64">
        <f t="shared" si="7"/>
        <v>19442.074428169104</v>
      </c>
      <c r="Q9" s="64">
        <v>121580.67</v>
      </c>
      <c r="R9" s="64">
        <f t="shared" si="8"/>
        <v>28365365222</v>
      </c>
      <c r="S9" s="64">
        <f t="shared" si="9"/>
        <v>21038.128673307194</v>
      </c>
      <c r="T9" s="64">
        <v>61999.08</v>
      </c>
      <c r="U9" s="64">
        <v>15652135472</v>
      </c>
      <c r="V9" s="66">
        <f t="shared" si="10"/>
        <v>17781.264150766059</v>
      </c>
      <c r="W9" s="64">
        <v>59581.58</v>
      </c>
      <c r="X9" s="65">
        <v>12713229750</v>
      </c>
      <c r="Y9" s="117"/>
      <c r="Z9" s="121"/>
      <c r="AA9" s="63" t="s">
        <v>101</v>
      </c>
      <c r="AB9" s="64">
        <f t="shared" si="11"/>
        <v>99023.630350194551</v>
      </c>
      <c r="AC9" s="64">
        <f t="shared" si="18"/>
        <v>2313</v>
      </c>
      <c r="AD9" s="64">
        <f t="shared" si="18"/>
        <v>229041657</v>
      </c>
      <c r="AE9" s="64">
        <f t="shared" si="12"/>
        <v>108007.45134099617</v>
      </c>
      <c r="AF9" s="64">
        <v>1305</v>
      </c>
      <c r="AG9" s="64">
        <v>140949724</v>
      </c>
      <c r="AH9" s="64">
        <f t="shared" si="13"/>
        <v>87392.79067460318</v>
      </c>
      <c r="AI9" s="64">
        <v>1008</v>
      </c>
      <c r="AJ9" s="65">
        <v>88091933</v>
      </c>
      <c r="AK9" s="117"/>
      <c r="AL9" s="121"/>
      <c r="AM9" s="63" t="s">
        <v>101</v>
      </c>
      <c r="AN9" s="64">
        <f t="shared" si="14"/>
        <v>829710.02749140898</v>
      </c>
      <c r="AO9" s="64">
        <f t="shared" si="19"/>
        <v>291</v>
      </c>
      <c r="AP9" s="64">
        <f t="shared" si="19"/>
        <v>241445618</v>
      </c>
      <c r="AQ9" s="64">
        <f t="shared" si="15"/>
        <v>849864.90047393367</v>
      </c>
      <c r="AR9" s="64">
        <v>211</v>
      </c>
      <c r="AS9" s="64">
        <v>179321494</v>
      </c>
      <c r="AT9" s="64">
        <f t="shared" si="16"/>
        <v>776551.55</v>
      </c>
      <c r="AU9" s="64">
        <v>80</v>
      </c>
      <c r="AV9" s="65">
        <v>62124124</v>
      </c>
    </row>
    <row r="10" spans="1:48" ht="24" customHeight="1">
      <c r="A10" s="117"/>
      <c r="B10" s="121"/>
      <c r="C10" s="63" t="s">
        <v>97</v>
      </c>
      <c r="D10" s="64">
        <f t="shared" si="0"/>
        <v>1268645.2900027926</v>
      </c>
      <c r="E10" s="64">
        <f t="shared" si="17"/>
        <v>7162</v>
      </c>
      <c r="F10" s="64">
        <f t="shared" si="17"/>
        <v>9086037567</v>
      </c>
      <c r="G10" s="64">
        <f t="shared" si="6"/>
        <v>1309723.614632858</v>
      </c>
      <c r="H10" s="64">
        <v>3786</v>
      </c>
      <c r="I10" s="64">
        <v>4958613605</v>
      </c>
      <c r="J10" s="64">
        <f t="shared" si="2"/>
        <v>1222578.1877962085</v>
      </c>
      <c r="K10" s="64">
        <v>3376</v>
      </c>
      <c r="L10" s="65">
        <v>4127423962</v>
      </c>
      <c r="M10" s="117"/>
      <c r="N10" s="121"/>
      <c r="O10" s="63" t="s">
        <v>97</v>
      </c>
      <c r="P10" s="64">
        <f t="shared" si="7"/>
        <v>17729.72370898103</v>
      </c>
      <c r="Q10" s="64">
        <v>166247.17000000001</v>
      </c>
      <c r="R10" s="64">
        <f t="shared" si="8"/>
        <v>35370196698</v>
      </c>
      <c r="S10" s="64">
        <f t="shared" si="9"/>
        <v>18947.105802487062</v>
      </c>
      <c r="T10" s="64">
        <v>80932.25</v>
      </c>
      <c r="U10" s="64">
        <v>18401182843</v>
      </c>
      <c r="V10" s="66">
        <f t="shared" si="10"/>
        <v>16574.879140913061</v>
      </c>
      <c r="W10" s="64">
        <v>85314.92</v>
      </c>
      <c r="X10" s="68">
        <v>16969013855</v>
      </c>
      <c r="Y10" s="117"/>
      <c r="Z10" s="121"/>
      <c r="AA10" s="63" t="s">
        <v>97</v>
      </c>
      <c r="AB10" s="64">
        <f t="shared" si="11"/>
        <v>89571.676161504423</v>
      </c>
      <c r="AC10" s="64">
        <f t="shared" si="18"/>
        <v>3616</v>
      </c>
      <c r="AD10" s="64">
        <f t="shared" si="18"/>
        <v>323891181</v>
      </c>
      <c r="AE10" s="64">
        <f t="shared" si="12"/>
        <v>97279.519087754088</v>
      </c>
      <c r="AF10" s="64">
        <v>2017</v>
      </c>
      <c r="AG10" s="64">
        <v>196212790</v>
      </c>
      <c r="AH10" s="64">
        <f t="shared" si="13"/>
        <v>79848.899937460912</v>
      </c>
      <c r="AI10" s="64">
        <v>1599</v>
      </c>
      <c r="AJ10" s="65">
        <v>127678391</v>
      </c>
      <c r="AK10" s="117"/>
      <c r="AL10" s="121"/>
      <c r="AM10" s="63" t="s">
        <v>97</v>
      </c>
      <c r="AN10" s="64">
        <f t="shared" si="14"/>
        <v>761371.44690265483</v>
      </c>
      <c r="AO10" s="64">
        <f t="shared" si="19"/>
        <v>452</v>
      </c>
      <c r="AP10" s="64">
        <f t="shared" si="19"/>
        <v>344139894</v>
      </c>
      <c r="AQ10" s="64">
        <f t="shared" si="15"/>
        <v>783561.72508591064</v>
      </c>
      <c r="AR10" s="64">
        <v>291</v>
      </c>
      <c r="AS10" s="64">
        <v>228016462</v>
      </c>
      <c r="AT10" s="64">
        <f t="shared" si="16"/>
        <v>721263.55279503111</v>
      </c>
      <c r="AU10" s="64">
        <v>161</v>
      </c>
      <c r="AV10" s="65">
        <v>116123432</v>
      </c>
    </row>
    <row r="11" spans="1:48" ht="24" customHeight="1">
      <c r="A11" s="117"/>
      <c r="B11" s="121"/>
      <c r="C11" s="63" t="s">
        <v>98</v>
      </c>
      <c r="D11" s="64">
        <f t="shared" si="0"/>
        <v>1234112.937282986</v>
      </c>
      <c r="E11" s="64">
        <f t="shared" si="17"/>
        <v>4608</v>
      </c>
      <c r="F11" s="64">
        <f t="shared" si="17"/>
        <v>5686792415</v>
      </c>
      <c r="G11" s="64">
        <f t="shared" si="6"/>
        <v>1261094.1825645035</v>
      </c>
      <c r="H11" s="64">
        <v>2558</v>
      </c>
      <c r="I11" s="64">
        <v>3225878919</v>
      </c>
      <c r="J11" s="64">
        <f t="shared" si="2"/>
        <v>1200445.6078048781</v>
      </c>
      <c r="K11" s="64">
        <v>2050</v>
      </c>
      <c r="L11" s="65">
        <v>2460913496</v>
      </c>
      <c r="M11" s="117"/>
      <c r="N11" s="121"/>
      <c r="O11" s="63" t="s">
        <v>98</v>
      </c>
      <c r="P11" s="64">
        <f t="shared" si="7"/>
        <v>16979.7044382407</v>
      </c>
      <c r="Q11" s="64">
        <v>127034.42</v>
      </c>
      <c r="R11" s="64">
        <f t="shared" si="8"/>
        <v>25884082861</v>
      </c>
      <c r="S11" s="64">
        <f t="shared" si="9"/>
        <v>18463.626777764199</v>
      </c>
      <c r="T11" s="64">
        <v>59078.42</v>
      </c>
      <c r="U11" s="64">
        <v>13089622770</v>
      </c>
      <c r="V11" s="66">
        <f t="shared" si="10"/>
        <v>15689.637524035161</v>
      </c>
      <c r="W11" s="64">
        <v>67956</v>
      </c>
      <c r="X11" s="65">
        <v>12794460091</v>
      </c>
      <c r="Y11" s="117"/>
      <c r="Z11" s="121"/>
      <c r="AA11" s="63" t="s">
        <v>98</v>
      </c>
      <c r="AB11" s="64">
        <f t="shared" si="11"/>
        <v>89362.252080274106</v>
      </c>
      <c r="AC11" s="64">
        <f t="shared" si="18"/>
        <v>2043</v>
      </c>
      <c r="AD11" s="64">
        <f t="shared" si="18"/>
        <v>182567081</v>
      </c>
      <c r="AE11" s="64">
        <f t="shared" si="12"/>
        <v>98133.637522768666</v>
      </c>
      <c r="AF11" s="64">
        <v>1098</v>
      </c>
      <c r="AG11" s="64">
        <v>107750734</v>
      </c>
      <c r="AH11" s="64">
        <f t="shared" si="13"/>
        <v>79170.73756613757</v>
      </c>
      <c r="AI11" s="64">
        <v>945</v>
      </c>
      <c r="AJ11" s="65">
        <v>74816347</v>
      </c>
      <c r="AK11" s="117"/>
      <c r="AL11" s="121"/>
      <c r="AM11" s="63" t="s">
        <v>98</v>
      </c>
      <c r="AN11" s="64">
        <f t="shared" si="14"/>
        <v>736563.29782082327</v>
      </c>
      <c r="AO11" s="64">
        <f t="shared" si="19"/>
        <v>413</v>
      </c>
      <c r="AP11" s="64">
        <f t="shared" si="19"/>
        <v>304200642</v>
      </c>
      <c r="AQ11" s="64">
        <f t="shared" si="15"/>
        <v>789247.72332015808</v>
      </c>
      <c r="AR11" s="64">
        <v>253</v>
      </c>
      <c r="AS11" s="64">
        <v>199679674</v>
      </c>
      <c r="AT11" s="64">
        <f t="shared" si="16"/>
        <v>653256.05000000005</v>
      </c>
      <c r="AU11" s="64">
        <v>160</v>
      </c>
      <c r="AV11" s="65">
        <v>104520968</v>
      </c>
    </row>
    <row r="12" spans="1:48" ht="24" customHeight="1">
      <c r="A12" s="117"/>
      <c r="B12" s="121"/>
      <c r="C12" s="63" t="s">
        <v>99</v>
      </c>
      <c r="D12" s="64">
        <f t="shared" si="0"/>
        <v>1265746.9973584905</v>
      </c>
      <c r="E12" s="64">
        <f t="shared" si="17"/>
        <v>7950</v>
      </c>
      <c r="F12" s="64">
        <f t="shared" si="17"/>
        <v>10062688629</v>
      </c>
      <c r="G12" s="64">
        <f t="shared" si="6"/>
        <v>1278972.3551874857</v>
      </c>
      <c r="H12" s="64">
        <v>4347</v>
      </c>
      <c r="I12" s="64">
        <v>5559692828</v>
      </c>
      <c r="J12" s="64">
        <f t="shared" si="2"/>
        <v>1249790.6747155148</v>
      </c>
      <c r="K12" s="64">
        <v>3603</v>
      </c>
      <c r="L12" s="65">
        <v>4502995801</v>
      </c>
      <c r="M12" s="117"/>
      <c r="N12" s="121"/>
      <c r="O12" s="63" t="s">
        <v>99</v>
      </c>
      <c r="P12" s="64">
        <f t="shared" si="7"/>
        <v>19097.636367995561</v>
      </c>
      <c r="Q12" s="64">
        <v>218903.33</v>
      </c>
      <c r="R12" s="64">
        <f t="shared" si="8"/>
        <v>50166434353</v>
      </c>
      <c r="S12" s="64">
        <f t="shared" si="9"/>
        <v>21269.338386372729</v>
      </c>
      <c r="T12" s="64">
        <v>100278.92</v>
      </c>
      <c r="U12" s="64">
        <v>25594395390</v>
      </c>
      <c r="V12" s="66">
        <f t="shared" si="10"/>
        <v>17261.790730638208</v>
      </c>
      <c r="W12" s="64">
        <v>118624.42</v>
      </c>
      <c r="X12" s="65">
        <v>24572038963</v>
      </c>
      <c r="Y12" s="117"/>
      <c r="Z12" s="121"/>
      <c r="AA12" s="63" t="s">
        <v>99</v>
      </c>
      <c r="AB12" s="64">
        <f t="shared" si="11"/>
        <v>85727.636098130839</v>
      </c>
      <c r="AC12" s="64">
        <f t="shared" si="18"/>
        <v>3424</v>
      </c>
      <c r="AD12" s="64">
        <f t="shared" si="18"/>
        <v>293531426</v>
      </c>
      <c r="AE12" s="64">
        <f t="shared" si="12"/>
        <v>92152.330696984674</v>
      </c>
      <c r="AF12" s="64">
        <v>2023</v>
      </c>
      <c r="AG12" s="64">
        <v>186424165</v>
      </c>
      <c r="AH12" s="64">
        <f t="shared" si="13"/>
        <v>76450.578872234124</v>
      </c>
      <c r="AI12" s="64">
        <v>1401</v>
      </c>
      <c r="AJ12" s="65">
        <v>107107261</v>
      </c>
      <c r="AK12" s="117"/>
      <c r="AL12" s="121"/>
      <c r="AM12" s="63" t="s">
        <v>99</v>
      </c>
      <c r="AN12" s="64">
        <f t="shared" si="14"/>
        <v>760341.97611940303</v>
      </c>
      <c r="AO12" s="64">
        <f t="shared" si="19"/>
        <v>670</v>
      </c>
      <c r="AP12" s="64">
        <f t="shared" si="19"/>
        <v>509429124</v>
      </c>
      <c r="AQ12" s="64">
        <f t="shared" si="15"/>
        <v>798814.48815165879</v>
      </c>
      <c r="AR12" s="64">
        <v>422</v>
      </c>
      <c r="AS12" s="64">
        <v>337099714</v>
      </c>
      <c r="AT12" s="64">
        <f t="shared" si="16"/>
        <v>694876.65322580643</v>
      </c>
      <c r="AU12" s="64">
        <v>248</v>
      </c>
      <c r="AV12" s="65">
        <v>172329410</v>
      </c>
    </row>
    <row r="13" spans="1:48" ht="24" customHeight="1">
      <c r="A13" s="118"/>
      <c r="B13" s="122"/>
      <c r="C13" s="69" t="s">
        <v>77</v>
      </c>
      <c r="D13" s="70">
        <f t="shared" si="0"/>
        <v>1500462.4620437957</v>
      </c>
      <c r="E13" s="70">
        <f t="shared" si="17"/>
        <v>1370</v>
      </c>
      <c r="F13" s="70">
        <f t="shared" si="17"/>
        <v>2055633573</v>
      </c>
      <c r="G13" s="70">
        <f t="shared" si="6"/>
        <v>1474784.6552217454</v>
      </c>
      <c r="H13" s="70">
        <v>699</v>
      </c>
      <c r="I13" s="70">
        <v>1030874474</v>
      </c>
      <c r="J13" s="70">
        <f t="shared" si="2"/>
        <v>1527211.7719821162</v>
      </c>
      <c r="K13" s="70">
        <v>671</v>
      </c>
      <c r="L13" s="71">
        <v>1024759099</v>
      </c>
      <c r="M13" s="118"/>
      <c r="N13" s="122"/>
      <c r="O13" s="69" t="s">
        <v>77</v>
      </c>
      <c r="P13" s="70">
        <f t="shared" si="7"/>
        <v>20315.553123004098</v>
      </c>
      <c r="Q13" s="70">
        <v>36141.75</v>
      </c>
      <c r="R13" s="70">
        <f t="shared" si="8"/>
        <v>8810875705</v>
      </c>
      <c r="S13" s="70">
        <f t="shared" si="9"/>
        <v>20854.761751456401</v>
      </c>
      <c r="T13" s="70">
        <v>14133</v>
      </c>
      <c r="U13" s="70">
        <v>3536884174</v>
      </c>
      <c r="V13" s="72">
        <f t="shared" si="10"/>
        <v>19969.298313170897</v>
      </c>
      <c r="W13" s="70">
        <v>22008.75</v>
      </c>
      <c r="X13" s="71">
        <v>5273991531</v>
      </c>
      <c r="Y13" s="118"/>
      <c r="Z13" s="122"/>
      <c r="AA13" s="69" t="s">
        <v>77</v>
      </c>
      <c r="AB13" s="70">
        <f t="shared" si="11"/>
        <v>85172.954081632648</v>
      </c>
      <c r="AC13" s="70">
        <f t="shared" si="18"/>
        <v>196</v>
      </c>
      <c r="AD13" s="70">
        <f t="shared" si="18"/>
        <v>16693899</v>
      </c>
      <c r="AE13" s="70">
        <f t="shared" si="12"/>
        <v>87036.549019607846</v>
      </c>
      <c r="AF13" s="70">
        <v>102</v>
      </c>
      <c r="AG13" s="70">
        <v>8877728</v>
      </c>
      <c r="AH13" s="70">
        <f t="shared" si="13"/>
        <v>83150.755319148942</v>
      </c>
      <c r="AI13" s="70">
        <v>94</v>
      </c>
      <c r="AJ13" s="71">
        <v>7816171</v>
      </c>
      <c r="AK13" s="118"/>
      <c r="AL13" s="122"/>
      <c r="AM13" s="69" t="s">
        <v>77</v>
      </c>
      <c r="AN13" s="70">
        <f t="shared" si="14"/>
        <v>791391.39325842692</v>
      </c>
      <c r="AO13" s="70">
        <f t="shared" si="19"/>
        <v>89</v>
      </c>
      <c r="AP13" s="70">
        <f t="shared" si="19"/>
        <v>70433834</v>
      </c>
      <c r="AQ13" s="70">
        <f t="shared" si="15"/>
        <v>775222.28571428568</v>
      </c>
      <c r="AR13" s="70">
        <v>49</v>
      </c>
      <c r="AS13" s="70">
        <v>37985892</v>
      </c>
      <c r="AT13" s="70">
        <f t="shared" si="16"/>
        <v>811198.55</v>
      </c>
      <c r="AU13" s="70">
        <v>40</v>
      </c>
      <c r="AV13" s="71">
        <v>32447942</v>
      </c>
    </row>
    <row r="14" spans="1:48" ht="24" customHeight="1">
      <c r="A14" s="118"/>
      <c r="B14" s="122"/>
      <c r="C14" s="69" t="s">
        <v>79</v>
      </c>
      <c r="D14" s="70">
        <f t="shared" si="0"/>
        <v>1366630.7372764787</v>
      </c>
      <c r="E14" s="70">
        <f t="shared" si="17"/>
        <v>1454</v>
      </c>
      <c r="F14" s="70">
        <f t="shared" si="17"/>
        <v>1987081092</v>
      </c>
      <c r="G14" s="70">
        <f t="shared" si="6"/>
        <v>1412886.2095959596</v>
      </c>
      <c r="H14" s="70">
        <v>792</v>
      </c>
      <c r="I14" s="70">
        <v>1119005878</v>
      </c>
      <c r="J14" s="70">
        <f t="shared" si="2"/>
        <v>1311291.8640483383</v>
      </c>
      <c r="K14" s="70">
        <v>662</v>
      </c>
      <c r="L14" s="71">
        <v>868075214</v>
      </c>
      <c r="M14" s="118"/>
      <c r="N14" s="122"/>
      <c r="O14" s="69" t="s">
        <v>79</v>
      </c>
      <c r="P14" s="70">
        <f t="shared" si="7"/>
        <v>19838.919032852868</v>
      </c>
      <c r="Q14" s="70">
        <v>26576.17</v>
      </c>
      <c r="R14" s="70">
        <f t="shared" si="8"/>
        <v>6326909818</v>
      </c>
      <c r="S14" s="70">
        <f t="shared" si="9"/>
        <v>21077.389185244505</v>
      </c>
      <c r="T14" s="70">
        <v>12711.83</v>
      </c>
      <c r="U14" s="70">
        <v>3215186258</v>
      </c>
      <c r="V14" s="72">
        <f t="shared" si="10"/>
        <v>18703.413483858698</v>
      </c>
      <c r="W14" s="70">
        <v>13864.33</v>
      </c>
      <c r="X14" s="71">
        <v>3111723560</v>
      </c>
      <c r="Y14" s="118"/>
      <c r="Z14" s="122"/>
      <c r="AA14" s="69" t="s">
        <v>79</v>
      </c>
      <c r="AB14" s="70">
        <f t="shared" si="11"/>
        <v>118119.27435897436</v>
      </c>
      <c r="AC14" s="70">
        <f t="shared" si="18"/>
        <v>390</v>
      </c>
      <c r="AD14" s="70">
        <f t="shared" si="18"/>
        <v>46066517</v>
      </c>
      <c r="AE14" s="70">
        <f t="shared" si="12"/>
        <v>132064.84615384616</v>
      </c>
      <c r="AF14" s="70">
        <v>221</v>
      </c>
      <c r="AG14" s="70">
        <v>29186331</v>
      </c>
      <c r="AH14" s="70">
        <f t="shared" si="13"/>
        <v>99882.757396449699</v>
      </c>
      <c r="AI14" s="70">
        <v>169</v>
      </c>
      <c r="AJ14" s="71">
        <v>16880186</v>
      </c>
      <c r="AK14" s="118"/>
      <c r="AL14" s="122"/>
      <c r="AM14" s="69" t="s">
        <v>79</v>
      </c>
      <c r="AN14" s="70">
        <f t="shared" si="14"/>
        <v>779080</v>
      </c>
      <c r="AO14" s="70">
        <f t="shared" si="19"/>
        <v>68</v>
      </c>
      <c r="AP14" s="70">
        <f t="shared" si="19"/>
        <v>52977440</v>
      </c>
      <c r="AQ14" s="70">
        <f t="shared" si="15"/>
        <v>799709.46808510635</v>
      </c>
      <c r="AR14" s="70">
        <v>47</v>
      </c>
      <c r="AS14" s="70">
        <v>37586345</v>
      </c>
      <c r="AT14" s="70">
        <f t="shared" si="16"/>
        <v>732909.28571428568</v>
      </c>
      <c r="AU14" s="70">
        <v>21</v>
      </c>
      <c r="AV14" s="71">
        <v>15391095</v>
      </c>
    </row>
    <row r="15" spans="1:48" ht="24" customHeight="1">
      <c r="A15" s="118"/>
      <c r="B15" s="122"/>
      <c r="C15" s="69" t="s">
        <v>80</v>
      </c>
      <c r="D15" s="70">
        <f t="shared" si="0"/>
        <v>1374518.7164579607</v>
      </c>
      <c r="E15" s="70">
        <f t="shared" si="17"/>
        <v>1118</v>
      </c>
      <c r="F15" s="70">
        <f t="shared" si="17"/>
        <v>1536711925</v>
      </c>
      <c r="G15" s="70">
        <f t="shared" si="6"/>
        <v>1420742.2316476346</v>
      </c>
      <c r="H15" s="70">
        <v>613</v>
      </c>
      <c r="I15" s="70">
        <v>870914988</v>
      </c>
      <c r="J15" s="70">
        <f t="shared" si="2"/>
        <v>1318409.7762376238</v>
      </c>
      <c r="K15" s="70">
        <v>505</v>
      </c>
      <c r="L15" s="71">
        <v>665796937</v>
      </c>
      <c r="M15" s="118"/>
      <c r="N15" s="122"/>
      <c r="O15" s="69" t="s">
        <v>80</v>
      </c>
      <c r="P15" s="70">
        <f t="shared" si="7"/>
        <v>19251.670989433238</v>
      </c>
      <c r="Q15" s="70">
        <v>31750.5</v>
      </c>
      <c r="R15" s="70">
        <f t="shared" si="8"/>
        <v>7335002157</v>
      </c>
      <c r="S15" s="70">
        <f t="shared" si="9"/>
        <v>20786.540777931117</v>
      </c>
      <c r="T15" s="70">
        <v>14412.33</v>
      </c>
      <c r="U15" s="70">
        <v>3594989823</v>
      </c>
      <c r="V15" s="72">
        <f t="shared" si="10"/>
        <v>17975.812585757321</v>
      </c>
      <c r="W15" s="70">
        <v>17338.169999999998</v>
      </c>
      <c r="X15" s="71">
        <v>3740012334</v>
      </c>
      <c r="Y15" s="118"/>
      <c r="Z15" s="122"/>
      <c r="AA15" s="69" t="s">
        <v>80</v>
      </c>
      <c r="AB15" s="70">
        <f t="shared" si="11"/>
        <v>80138.84367816092</v>
      </c>
      <c r="AC15" s="70">
        <f t="shared" si="18"/>
        <v>435</v>
      </c>
      <c r="AD15" s="70">
        <f t="shared" si="18"/>
        <v>34860397</v>
      </c>
      <c r="AE15" s="70">
        <f t="shared" si="12"/>
        <v>85915.625</v>
      </c>
      <c r="AF15" s="70">
        <v>256</v>
      </c>
      <c r="AG15" s="70">
        <v>21994400</v>
      </c>
      <c r="AH15" s="70">
        <f t="shared" si="13"/>
        <v>71877.078212290508</v>
      </c>
      <c r="AI15" s="70">
        <v>179</v>
      </c>
      <c r="AJ15" s="71">
        <v>12865997</v>
      </c>
      <c r="AK15" s="118"/>
      <c r="AL15" s="122"/>
      <c r="AM15" s="69" t="s">
        <v>80</v>
      </c>
      <c r="AN15" s="70">
        <f t="shared" si="14"/>
        <v>751456.51086956519</v>
      </c>
      <c r="AO15" s="70">
        <f t="shared" si="19"/>
        <v>92</v>
      </c>
      <c r="AP15" s="70">
        <f t="shared" si="19"/>
        <v>69133999</v>
      </c>
      <c r="AQ15" s="70">
        <f t="shared" si="15"/>
        <v>723061.76666666672</v>
      </c>
      <c r="AR15" s="70">
        <v>60</v>
      </c>
      <c r="AS15" s="70">
        <v>43383706</v>
      </c>
      <c r="AT15" s="70">
        <f t="shared" si="16"/>
        <v>804696.65625</v>
      </c>
      <c r="AU15" s="70">
        <v>32</v>
      </c>
      <c r="AV15" s="71">
        <v>25750293</v>
      </c>
    </row>
    <row r="16" spans="1:48" ht="24" customHeight="1">
      <c r="A16" s="118"/>
      <c r="B16" s="122"/>
      <c r="C16" s="69" t="s">
        <v>81</v>
      </c>
      <c r="D16" s="70">
        <f t="shared" si="0"/>
        <v>1315571.1206559937</v>
      </c>
      <c r="E16" s="70">
        <f t="shared" si="17"/>
        <v>2561</v>
      </c>
      <c r="F16" s="70">
        <f t="shared" si="17"/>
        <v>3369177640</v>
      </c>
      <c r="G16" s="70">
        <f t="shared" si="6"/>
        <v>1353356.7690677966</v>
      </c>
      <c r="H16" s="70">
        <v>1416</v>
      </c>
      <c r="I16" s="70">
        <v>1916353185</v>
      </c>
      <c r="J16" s="70">
        <f t="shared" si="2"/>
        <v>1268842.3187772925</v>
      </c>
      <c r="K16" s="70">
        <v>1145</v>
      </c>
      <c r="L16" s="71">
        <v>1452824455</v>
      </c>
      <c r="M16" s="118"/>
      <c r="N16" s="122"/>
      <c r="O16" s="69" t="s">
        <v>81</v>
      </c>
      <c r="P16" s="70">
        <f t="shared" si="7"/>
        <v>17547.202539501264</v>
      </c>
      <c r="Q16" s="70">
        <v>77860.17</v>
      </c>
      <c r="R16" s="70">
        <f t="shared" si="8"/>
        <v>16394738073</v>
      </c>
      <c r="S16" s="70">
        <f t="shared" si="9"/>
        <v>18712.284626488879</v>
      </c>
      <c r="T16" s="70">
        <v>36541.75</v>
      </c>
      <c r="U16" s="70">
        <v>8205355521</v>
      </c>
      <c r="V16" s="72">
        <f t="shared" si="10"/>
        <v>16516.811291428861</v>
      </c>
      <c r="W16" s="70">
        <v>41318.42</v>
      </c>
      <c r="X16" s="71">
        <v>8189382552</v>
      </c>
      <c r="Y16" s="118"/>
      <c r="Z16" s="122"/>
      <c r="AA16" s="69" t="s">
        <v>81</v>
      </c>
      <c r="AB16" s="70">
        <f t="shared" si="11"/>
        <v>81259.955729166672</v>
      </c>
      <c r="AC16" s="70">
        <f t="shared" si="18"/>
        <v>1152</v>
      </c>
      <c r="AD16" s="70">
        <f t="shared" si="18"/>
        <v>93611469</v>
      </c>
      <c r="AE16" s="70">
        <f t="shared" si="12"/>
        <v>93135.760797342198</v>
      </c>
      <c r="AF16" s="70">
        <v>602</v>
      </c>
      <c r="AG16" s="70">
        <v>56067728</v>
      </c>
      <c r="AH16" s="70">
        <f t="shared" si="13"/>
        <v>68261.347272727275</v>
      </c>
      <c r="AI16" s="70">
        <v>550</v>
      </c>
      <c r="AJ16" s="71">
        <v>37543741</v>
      </c>
      <c r="AK16" s="118"/>
      <c r="AL16" s="122"/>
      <c r="AM16" s="69" t="s">
        <v>81</v>
      </c>
      <c r="AN16" s="70">
        <f t="shared" si="14"/>
        <v>698759.77090909088</v>
      </c>
      <c r="AO16" s="70">
        <f t="shared" si="19"/>
        <v>275</v>
      </c>
      <c r="AP16" s="70">
        <f t="shared" si="19"/>
        <v>192158937</v>
      </c>
      <c r="AQ16" s="70">
        <f t="shared" si="15"/>
        <v>704022.53892215574</v>
      </c>
      <c r="AR16" s="70">
        <v>167</v>
      </c>
      <c r="AS16" s="70">
        <v>117571764</v>
      </c>
      <c r="AT16" s="70">
        <f t="shared" si="16"/>
        <v>690621.97222222225</v>
      </c>
      <c r="AU16" s="70">
        <v>108</v>
      </c>
      <c r="AV16" s="71">
        <v>74587173</v>
      </c>
    </row>
    <row r="17" spans="1:48" ht="24" customHeight="1">
      <c r="A17" s="118"/>
      <c r="B17" s="122"/>
      <c r="C17" s="69" t="s">
        <v>82</v>
      </c>
      <c r="D17" s="70">
        <f t="shared" si="0"/>
        <v>1220882.7284210527</v>
      </c>
      <c r="E17" s="70">
        <f t="shared" si="17"/>
        <v>950</v>
      </c>
      <c r="F17" s="70">
        <f t="shared" si="17"/>
        <v>1159838592</v>
      </c>
      <c r="G17" s="70">
        <f t="shared" si="6"/>
        <v>1243051.7075098814</v>
      </c>
      <c r="H17" s="70">
        <v>506</v>
      </c>
      <c r="I17" s="70">
        <v>628984164</v>
      </c>
      <c r="J17" s="70">
        <f t="shared" si="2"/>
        <v>1195618.0810810812</v>
      </c>
      <c r="K17" s="70">
        <v>444</v>
      </c>
      <c r="L17" s="71">
        <v>530854428</v>
      </c>
      <c r="M17" s="118"/>
      <c r="N17" s="122"/>
      <c r="O17" s="69" t="s">
        <v>82</v>
      </c>
      <c r="P17" s="70">
        <f t="shared" si="7"/>
        <v>18502.063338584303</v>
      </c>
      <c r="Q17" s="70">
        <v>34584.080000000002</v>
      </c>
      <c r="R17" s="70">
        <f t="shared" si="8"/>
        <v>7678522064</v>
      </c>
      <c r="S17" s="70">
        <f t="shared" si="9"/>
        <v>19384.932613553614</v>
      </c>
      <c r="T17" s="70">
        <v>13993.17</v>
      </c>
      <c r="U17" s="70">
        <v>3255079890</v>
      </c>
      <c r="V17" s="72">
        <f t="shared" si="10"/>
        <v>17902.07436902609</v>
      </c>
      <c r="W17" s="70">
        <v>20590.919999999998</v>
      </c>
      <c r="X17" s="71">
        <v>4423442174</v>
      </c>
      <c r="Y17" s="118"/>
      <c r="Z17" s="122"/>
      <c r="AA17" s="69" t="s">
        <v>82</v>
      </c>
      <c r="AB17" s="70">
        <f t="shared" si="11"/>
        <v>106932.5376344086</v>
      </c>
      <c r="AC17" s="70">
        <f t="shared" si="18"/>
        <v>279</v>
      </c>
      <c r="AD17" s="70">
        <f t="shared" si="18"/>
        <v>29834178</v>
      </c>
      <c r="AE17" s="70">
        <f t="shared" si="12"/>
        <v>114197.33571428571</v>
      </c>
      <c r="AF17" s="70">
        <v>140</v>
      </c>
      <c r="AG17" s="70">
        <v>15987627</v>
      </c>
      <c r="AH17" s="70">
        <f t="shared" si="13"/>
        <v>99615.474820143878</v>
      </c>
      <c r="AI17" s="70">
        <v>139</v>
      </c>
      <c r="AJ17" s="71">
        <v>13846551</v>
      </c>
      <c r="AK17" s="118"/>
      <c r="AL17" s="122"/>
      <c r="AM17" s="69" t="s">
        <v>82</v>
      </c>
      <c r="AN17" s="70">
        <f t="shared" si="14"/>
        <v>779544.15957446804</v>
      </c>
      <c r="AO17" s="70">
        <f t="shared" si="19"/>
        <v>94</v>
      </c>
      <c r="AP17" s="70">
        <f t="shared" si="19"/>
        <v>73277151</v>
      </c>
      <c r="AQ17" s="70">
        <f t="shared" si="15"/>
        <v>829716.12068965519</v>
      </c>
      <c r="AR17" s="70">
        <v>58</v>
      </c>
      <c r="AS17" s="70">
        <v>48123535</v>
      </c>
      <c r="AT17" s="70">
        <f t="shared" si="16"/>
        <v>698711.5555555555</v>
      </c>
      <c r="AU17" s="70">
        <v>36</v>
      </c>
      <c r="AV17" s="71">
        <v>25153616</v>
      </c>
    </row>
    <row r="18" spans="1:48" ht="24" customHeight="1">
      <c r="A18" s="118"/>
      <c r="B18" s="122"/>
      <c r="C18" s="69" t="s">
        <v>83</v>
      </c>
      <c r="D18" s="70">
        <f t="shared" si="0"/>
        <v>1302810.3732394367</v>
      </c>
      <c r="E18" s="70">
        <f t="shared" si="17"/>
        <v>1420</v>
      </c>
      <c r="F18" s="70">
        <f t="shared" si="17"/>
        <v>1849990730</v>
      </c>
      <c r="G18" s="70">
        <f t="shared" si="6"/>
        <v>1299426.6893203883</v>
      </c>
      <c r="H18" s="70">
        <v>824</v>
      </c>
      <c r="I18" s="70">
        <v>1070727592</v>
      </c>
      <c r="J18" s="70">
        <f t="shared" si="2"/>
        <v>1307488.4865771811</v>
      </c>
      <c r="K18" s="70">
        <v>596</v>
      </c>
      <c r="L18" s="71">
        <v>779263138</v>
      </c>
      <c r="M18" s="118"/>
      <c r="N18" s="122"/>
      <c r="O18" s="69" t="s">
        <v>83</v>
      </c>
      <c r="P18" s="70">
        <f t="shared" si="7"/>
        <v>17977.649080196588</v>
      </c>
      <c r="Q18" s="70">
        <v>45425.83</v>
      </c>
      <c r="R18" s="70">
        <f t="shared" si="8"/>
        <v>9799795571</v>
      </c>
      <c r="S18" s="70">
        <f t="shared" si="9"/>
        <v>19158.688593632865</v>
      </c>
      <c r="T18" s="70">
        <v>19533.330000000002</v>
      </c>
      <c r="U18" s="70">
        <v>4490795840</v>
      </c>
      <c r="V18" s="72">
        <f t="shared" si="10"/>
        <v>17086.671594090953</v>
      </c>
      <c r="W18" s="70">
        <v>25892.5</v>
      </c>
      <c r="X18" s="71">
        <v>5308999731</v>
      </c>
      <c r="Y18" s="118"/>
      <c r="Z18" s="122"/>
      <c r="AA18" s="69" t="s">
        <v>83</v>
      </c>
      <c r="AB18" s="70">
        <f t="shared" si="11"/>
        <v>91609.73453093812</v>
      </c>
      <c r="AC18" s="70">
        <f t="shared" si="18"/>
        <v>501</v>
      </c>
      <c r="AD18" s="70">
        <f t="shared" si="18"/>
        <v>45896477</v>
      </c>
      <c r="AE18" s="70">
        <f t="shared" si="12"/>
        <v>89971.353403141358</v>
      </c>
      <c r="AF18" s="70">
        <v>382</v>
      </c>
      <c r="AG18" s="70">
        <v>34369057</v>
      </c>
      <c r="AH18" s="70">
        <f t="shared" si="13"/>
        <v>96869.075630252104</v>
      </c>
      <c r="AI18" s="70">
        <v>119</v>
      </c>
      <c r="AJ18" s="71">
        <v>11527420</v>
      </c>
      <c r="AK18" s="118"/>
      <c r="AL18" s="122"/>
      <c r="AM18" s="69" t="s">
        <v>83</v>
      </c>
      <c r="AN18" s="70">
        <f t="shared" si="14"/>
        <v>670227.50609756098</v>
      </c>
      <c r="AO18" s="70">
        <f t="shared" si="19"/>
        <v>164</v>
      </c>
      <c r="AP18" s="70">
        <f t="shared" si="19"/>
        <v>109917311</v>
      </c>
      <c r="AQ18" s="70">
        <f t="shared" si="15"/>
        <v>677602.48351648357</v>
      </c>
      <c r="AR18" s="70">
        <v>91</v>
      </c>
      <c r="AS18" s="70">
        <v>61661826</v>
      </c>
      <c r="AT18" s="70">
        <f t="shared" si="16"/>
        <v>661034.04109589045</v>
      </c>
      <c r="AU18" s="70">
        <v>73</v>
      </c>
      <c r="AV18" s="71">
        <v>48255485</v>
      </c>
    </row>
    <row r="19" spans="1:48" ht="24" customHeight="1">
      <c r="A19" s="118"/>
      <c r="B19" s="122"/>
      <c r="C19" s="69" t="s">
        <v>84</v>
      </c>
      <c r="D19" s="70">
        <f t="shared" si="0"/>
        <v>1358458.0387500001</v>
      </c>
      <c r="E19" s="70">
        <f t="shared" si="17"/>
        <v>800</v>
      </c>
      <c r="F19" s="70">
        <f t="shared" si="17"/>
        <v>1086766431</v>
      </c>
      <c r="G19" s="70">
        <f t="shared" si="6"/>
        <v>1396065.8404255318</v>
      </c>
      <c r="H19" s="70">
        <v>470</v>
      </c>
      <c r="I19" s="70">
        <v>656150945</v>
      </c>
      <c r="J19" s="70">
        <f t="shared" si="2"/>
        <v>1304895.4121212121</v>
      </c>
      <c r="K19" s="70">
        <v>330</v>
      </c>
      <c r="L19" s="71">
        <v>430615486</v>
      </c>
      <c r="M19" s="118"/>
      <c r="N19" s="122"/>
      <c r="O19" s="69" t="s">
        <v>84</v>
      </c>
      <c r="P19" s="70">
        <f t="shared" si="7"/>
        <v>18321.69713152336</v>
      </c>
      <c r="Q19" s="70">
        <v>17935.419999999998</v>
      </c>
      <c r="R19" s="70">
        <f t="shared" si="8"/>
        <v>3943287998</v>
      </c>
      <c r="S19" s="70">
        <f t="shared" si="9"/>
        <v>19525.304873456607</v>
      </c>
      <c r="T19" s="70">
        <v>8409.5</v>
      </c>
      <c r="U19" s="70">
        <v>1970376616</v>
      </c>
      <c r="V19" s="72">
        <f t="shared" si="10"/>
        <v>17259.149964867785</v>
      </c>
      <c r="W19" s="70">
        <v>9525.92</v>
      </c>
      <c r="X19" s="71">
        <v>1972911382</v>
      </c>
      <c r="Y19" s="118"/>
      <c r="Z19" s="122"/>
      <c r="AA19" s="69" t="s">
        <v>84</v>
      </c>
      <c r="AB19" s="70">
        <f t="shared" si="11"/>
        <v>82287.675862068965</v>
      </c>
      <c r="AC19" s="70">
        <f t="shared" si="18"/>
        <v>290</v>
      </c>
      <c r="AD19" s="70">
        <f t="shared" si="18"/>
        <v>23863426</v>
      </c>
      <c r="AE19" s="70">
        <f t="shared" si="12"/>
        <v>91877.741573033709</v>
      </c>
      <c r="AF19" s="70">
        <v>178</v>
      </c>
      <c r="AG19" s="70">
        <v>16354238</v>
      </c>
      <c r="AH19" s="70">
        <f t="shared" si="13"/>
        <v>67046.321428571435</v>
      </c>
      <c r="AI19" s="70">
        <v>112</v>
      </c>
      <c r="AJ19" s="71">
        <v>7509188</v>
      </c>
      <c r="AK19" s="118"/>
      <c r="AL19" s="122"/>
      <c r="AM19" s="69" t="s">
        <v>84</v>
      </c>
      <c r="AN19" s="70">
        <f t="shared" si="14"/>
        <v>798015.1369863014</v>
      </c>
      <c r="AO19" s="70">
        <f t="shared" si="19"/>
        <v>73</v>
      </c>
      <c r="AP19" s="70">
        <f t="shared" si="19"/>
        <v>58255105</v>
      </c>
      <c r="AQ19" s="70">
        <f t="shared" si="15"/>
        <v>773010.31914893619</v>
      </c>
      <c r="AR19" s="70">
        <v>47</v>
      </c>
      <c r="AS19" s="70">
        <v>36331485</v>
      </c>
      <c r="AT19" s="70">
        <f t="shared" si="16"/>
        <v>843216.15384615387</v>
      </c>
      <c r="AU19" s="70">
        <v>26</v>
      </c>
      <c r="AV19" s="71">
        <v>21923620</v>
      </c>
    </row>
    <row r="20" spans="1:48" ht="24" customHeight="1">
      <c r="A20" s="118"/>
      <c r="B20" s="122"/>
      <c r="C20" s="69" t="s">
        <v>85</v>
      </c>
      <c r="D20" s="70">
        <f t="shared" si="0"/>
        <v>1235397.7407594938</v>
      </c>
      <c r="E20" s="70">
        <f t="shared" si="17"/>
        <v>1975</v>
      </c>
      <c r="F20" s="70">
        <f t="shared" si="17"/>
        <v>2439910538</v>
      </c>
      <c r="G20" s="70">
        <f t="shared" si="6"/>
        <v>1271011.7209082309</v>
      </c>
      <c r="H20" s="70">
        <v>1057</v>
      </c>
      <c r="I20" s="70">
        <v>1343459389</v>
      </c>
      <c r="J20" s="70">
        <f t="shared" si="2"/>
        <v>1194391.2298474945</v>
      </c>
      <c r="K20" s="70">
        <v>918</v>
      </c>
      <c r="L20" s="71">
        <v>1096451149</v>
      </c>
      <c r="M20" s="118"/>
      <c r="N20" s="122"/>
      <c r="O20" s="69" t="s">
        <v>85</v>
      </c>
      <c r="P20" s="70">
        <f t="shared" si="7"/>
        <v>17492.252676174041</v>
      </c>
      <c r="Q20" s="70">
        <v>44474.25</v>
      </c>
      <c r="R20" s="70">
        <f t="shared" si="8"/>
        <v>9335457823</v>
      </c>
      <c r="S20" s="70">
        <f t="shared" si="9"/>
        <v>18710.908115848059</v>
      </c>
      <c r="T20" s="70">
        <v>18507</v>
      </c>
      <c r="U20" s="70">
        <v>4155393318</v>
      </c>
      <c r="V20" s="72">
        <f t="shared" si="10"/>
        <v>16623.710330640839</v>
      </c>
      <c r="W20" s="70">
        <v>25967.25</v>
      </c>
      <c r="X20" s="71">
        <v>5180064505</v>
      </c>
      <c r="Y20" s="118"/>
      <c r="Z20" s="122"/>
      <c r="AA20" s="69" t="s">
        <v>85</v>
      </c>
      <c r="AB20" s="70">
        <f t="shared" si="11"/>
        <v>97925.703933747413</v>
      </c>
      <c r="AC20" s="70">
        <f t="shared" si="18"/>
        <v>483</v>
      </c>
      <c r="AD20" s="70">
        <f t="shared" si="18"/>
        <v>47298115</v>
      </c>
      <c r="AE20" s="70">
        <f t="shared" si="12"/>
        <v>108394.62553191489</v>
      </c>
      <c r="AF20" s="70">
        <v>235</v>
      </c>
      <c r="AG20" s="70">
        <v>25472737</v>
      </c>
      <c r="AH20" s="70">
        <f t="shared" si="13"/>
        <v>88005.556451612909</v>
      </c>
      <c r="AI20" s="70">
        <v>248</v>
      </c>
      <c r="AJ20" s="71">
        <v>21825378</v>
      </c>
      <c r="AK20" s="118"/>
      <c r="AL20" s="122"/>
      <c r="AM20" s="69" t="s">
        <v>85</v>
      </c>
      <c r="AN20" s="70">
        <f t="shared" si="14"/>
        <v>714505.51176470588</v>
      </c>
      <c r="AO20" s="70">
        <f t="shared" si="19"/>
        <v>170</v>
      </c>
      <c r="AP20" s="70">
        <f t="shared" si="19"/>
        <v>121465937</v>
      </c>
      <c r="AQ20" s="70">
        <f t="shared" si="15"/>
        <v>787878.8</v>
      </c>
      <c r="AR20" s="70">
        <v>100</v>
      </c>
      <c r="AS20" s="70">
        <v>78787880</v>
      </c>
      <c r="AT20" s="70">
        <f t="shared" si="16"/>
        <v>609686.52857142861</v>
      </c>
      <c r="AU20" s="70">
        <v>70</v>
      </c>
      <c r="AV20" s="71">
        <v>42678057</v>
      </c>
    </row>
    <row r="21" spans="1:48" ht="24" customHeight="1">
      <c r="A21" s="118"/>
      <c r="B21" s="122"/>
      <c r="C21" s="69" t="s">
        <v>86</v>
      </c>
      <c r="D21" s="70">
        <f t="shared" si="0"/>
        <v>1068642.7305389221</v>
      </c>
      <c r="E21" s="70">
        <f t="shared" si="17"/>
        <v>501</v>
      </c>
      <c r="F21" s="70">
        <f t="shared" si="17"/>
        <v>535390008</v>
      </c>
      <c r="G21" s="70">
        <f t="shared" si="6"/>
        <v>1128234.3372549019</v>
      </c>
      <c r="H21" s="70">
        <v>255</v>
      </c>
      <c r="I21" s="70">
        <v>287699756</v>
      </c>
      <c r="J21" s="70">
        <f t="shared" si="2"/>
        <v>1006870.9430894309</v>
      </c>
      <c r="K21" s="70">
        <v>246</v>
      </c>
      <c r="L21" s="71">
        <v>247690252</v>
      </c>
      <c r="M21" s="118"/>
      <c r="N21" s="122"/>
      <c r="O21" s="69" t="s">
        <v>86</v>
      </c>
      <c r="P21" s="70">
        <f t="shared" si="7"/>
        <v>17694.296221507575</v>
      </c>
      <c r="Q21" s="70">
        <v>10028.25</v>
      </c>
      <c r="R21" s="70">
        <f t="shared" si="8"/>
        <v>2129313913</v>
      </c>
      <c r="S21" s="70">
        <f t="shared" si="9"/>
        <v>18689.7606187397</v>
      </c>
      <c r="T21" s="70">
        <v>3943.5</v>
      </c>
      <c r="U21" s="70">
        <v>884436852</v>
      </c>
      <c r="V21" s="72">
        <f t="shared" si="10"/>
        <v>17049.140076968379</v>
      </c>
      <c r="W21" s="70">
        <v>6084.75</v>
      </c>
      <c r="X21" s="71">
        <v>1244877061</v>
      </c>
      <c r="Y21" s="118"/>
      <c r="Z21" s="122"/>
      <c r="AA21" s="69" t="s">
        <v>86</v>
      </c>
      <c r="AB21" s="70">
        <f t="shared" si="11"/>
        <v>115572.49586776859</v>
      </c>
      <c r="AC21" s="70">
        <f t="shared" si="18"/>
        <v>121</v>
      </c>
      <c r="AD21" s="70">
        <f t="shared" si="18"/>
        <v>13984272</v>
      </c>
      <c r="AE21" s="70">
        <f t="shared" si="12"/>
        <v>122232.65333333334</v>
      </c>
      <c r="AF21" s="70">
        <v>75</v>
      </c>
      <c r="AG21" s="70">
        <v>9167449</v>
      </c>
      <c r="AH21" s="70">
        <f t="shared" si="13"/>
        <v>104713.54347826086</v>
      </c>
      <c r="AI21" s="70">
        <v>46</v>
      </c>
      <c r="AJ21" s="71">
        <v>4816823</v>
      </c>
      <c r="AK21" s="118"/>
      <c r="AL21" s="122"/>
      <c r="AM21" s="69" t="s">
        <v>86</v>
      </c>
      <c r="AN21" s="70">
        <f t="shared" si="14"/>
        <v>589310.21875</v>
      </c>
      <c r="AO21" s="70">
        <f t="shared" si="19"/>
        <v>32</v>
      </c>
      <c r="AP21" s="70">
        <f t="shared" si="19"/>
        <v>18857927</v>
      </c>
      <c r="AQ21" s="70">
        <f t="shared" si="15"/>
        <v>639718.73333333328</v>
      </c>
      <c r="AR21" s="70">
        <v>15</v>
      </c>
      <c r="AS21" s="70">
        <v>9595781</v>
      </c>
      <c r="AT21" s="70">
        <f t="shared" si="16"/>
        <v>544832.1176470588</v>
      </c>
      <c r="AU21" s="70">
        <v>17</v>
      </c>
      <c r="AV21" s="71">
        <v>9262146</v>
      </c>
    </row>
    <row r="22" spans="1:48" ht="24" customHeight="1">
      <c r="A22" s="118"/>
      <c r="B22" s="122"/>
      <c r="C22" s="69" t="s">
        <v>87</v>
      </c>
      <c r="D22" s="70">
        <f t="shared" si="0"/>
        <v>1170526.4376257546</v>
      </c>
      <c r="E22" s="70">
        <f t="shared" si="17"/>
        <v>994</v>
      </c>
      <c r="F22" s="70">
        <f t="shared" si="17"/>
        <v>1163503279</v>
      </c>
      <c r="G22" s="70">
        <f t="shared" si="6"/>
        <v>1143317.0207039337</v>
      </c>
      <c r="H22" s="70">
        <v>483</v>
      </c>
      <c r="I22" s="70">
        <v>552222121</v>
      </c>
      <c r="J22" s="70">
        <f t="shared" si="2"/>
        <v>1196244.9275929551</v>
      </c>
      <c r="K22" s="70">
        <v>511</v>
      </c>
      <c r="L22" s="71">
        <v>611281158</v>
      </c>
      <c r="M22" s="118"/>
      <c r="N22" s="122"/>
      <c r="O22" s="69" t="s">
        <v>87</v>
      </c>
      <c r="P22" s="70">
        <f t="shared" si="7"/>
        <v>19288.9317970308</v>
      </c>
      <c r="Q22" s="70">
        <v>22565</v>
      </c>
      <c r="R22" s="70">
        <f t="shared" si="8"/>
        <v>5223056952</v>
      </c>
      <c r="S22" s="70">
        <f t="shared" si="9"/>
        <v>20791.910584613765</v>
      </c>
      <c r="T22" s="70">
        <v>9121.92</v>
      </c>
      <c r="U22" s="70">
        <v>2275945740</v>
      </c>
      <c r="V22" s="72">
        <f t="shared" si="10"/>
        <v>18269.072340564813</v>
      </c>
      <c r="W22" s="70">
        <v>13443.08</v>
      </c>
      <c r="X22" s="71">
        <v>2947111212</v>
      </c>
      <c r="Y22" s="118"/>
      <c r="Z22" s="122"/>
      <c r="AA22" s="69" t="s">
        <v>87</v>
      </c>
      <c r="AB22" s="70">
        <f t="shared" si="11"/>
        <v>94114.448275862072</v>
      </c>
      <c r="AC22" s="70">
        <f t="shared" si="18"/>
        <v>290</v>
      </c>
      <c r="AD22" s="70">
        <f t="shared" si="18"/>
        <v>27293190</v>
      </c>
      <c r="AE22" s="70">
        <f t="shared" si="12"/>
        <v>94404.371428571423</v>
      </c>
      <c r="AF22" s="70">
        <v>175</v>
      </c>
      <c r="AG22" s="70">
        <v>16520765</v>
      </c>
      <c r="AH22" s="70">
        <f t="shared" si="13"/>
        <v>93673.260869565216</v>
      </c>
      <c r="AI22" s="70">
        <v>115</v>
      </c>
      <c r="AJ22" s="71">
        <v>10772425</v>
      </c>
      <c r="AK22" s="118"/>
      <c r="AL22" s="122"/>
      <c r="AM22" s="69" t="s">
        <v>87</v>
      </c>
      <c r="AN22" s="70">
        <f t="shared" si="14"/>
        <v>655746.76923076925</v>
      </c>
      <c r="AO22" s="70">
        <f t="shared" si="19"/>
        <v>78</v>
      </c>
      <c r="AP22" s="70">
        <f t="shared" si="19"/>
        <v>51148248</v>
      </c>
      <c r="AQ22" s="70">
        <f t="shared" si="15"/>
        <v>637227.06122448982</v>
      </c>
      <c r="AR22" s="70">
        <v>49</v>
      </c>
      <c r="AS22" s="70">
        <v>31224126</v>
      </c>
      <c r="AT22" s="70">
        <f t="shared" si="16"/>
        <v>687038.68965517241</v>
      </c>
      <c r="AU22" s="70">
        <v>29</v>
      </c>
      <c r="AV22" s="71">
        <v>19924122</v>
      </c>
    </row>
    <row r="23" spans="1:48" ht="24" customHeight="1">
      <c r="A23" s="118"/>
      <c r="B23" s="122"/>
      <c r="C23" s="69" t="s">
        <v>88</v>
      </c>
      <c r="D23" s="70">
        <f t="shared" si="0"/>
        <v>1300500.2198581561</v>
      </c>
      <c r="E23" s="70">
        <f t="shared" si="17"/>
        <v>282</v>
      </c>
      <c r="F23" s="70">
        <f t="shared" si="17"/>
        <v>366741062</v>
      </c>
      <c r="G23" s="70">
        <f t="shared" si="6"/>
        <v>1295470.0566037735</v>
      </c>
      <c r="H23" s="70">
        <v>159</v>
      </c>
      <c r="I23" s="70">
        <v>205979739</v>
      </c>
      <c r="J23" s="70">
        <f t="shared" si="2"/>
        <v>1307002.6260162601</v>
      </c>
      <c r="K23" s="70">
        <v>123</v>
      </c>
      <c r="L23" s="71">
        <v>160761323</v>
      </c>
      <c r="M23" s="118"/>
      <c r="N23" s="122"/>
      <c r="O23" s="69" t="s">
        <v>88</v>
      </c>
      <c r="P23" s="70">
        <f t="shared" si="7"/>
        <v>18675.714987986572</v>
      </c>
      <c r="Q23" s="70">
        <v>6302.67</v>
      </c>
      <c r="R23" s="70">
        <f t="shared" si="8"/>
        <v>1412482423</v>
      </c>
      <c r="S23" s="70">
        <f t="shared" si="9"/>
        <v>19728.098421641927</v>
      </c>
      <c r="T23" s="70">
        <v>2307.25</v>
      </c>
      <c r="U23" s="70">
        <v>546211861</v>
      </c>
      <c r="V23" s="72">
        <f t="shared" si="10"/>
        <v>18067.99122495257</v>
      </c>
      <c r="W23" s="70">
        <v>3995.42</v>
      </c>
      <c r="X23" s="71">
        <v>866270562</v>
      </c>
      <c r="Y23" s="118"/>
      <c r="Z23" s="122"/>
      <c r="AA23" s="69" t="s">
        <v>88</v>
      </c>
      <c r="AB23" s="70">
        <f t="shared" si="11"/>
        <v>163003.19047619047</v>
      </c>
      <c r="AC23" s="70">
        <f t="shared" si="18"/>
        <v>21</v>
      </c>
      <c r="AD23" s="70">
        <f t="shared" si="18"/>
        <v>3423067</v>
      </c>
      <c r="AE23" s="70">
        <f t="shared" si="12"/>
        <v>175449.85714285713</v>
      </c>
      <c r="AF23" s="70">
        <v>14</v>
      </c>
      <c r="AG23" s="70">
        <v>2456298</v>
      </c>
      <c r="AH23" s="70">
        <f t="shared" si="13"/>
        <v>138109.85714285713</v>
      </c>
      <c r="AI23" s="70">
        <v>7</v>
      </c>
      <c r="AJ23" s="71">
        <v>966769</v>
      </c>
      <c r="AK23" s="118"/>
      <c r="AL23" s="122"/>
      <c r="AM23" s="69" t="s">
        <v>88</v>
      </c>
      <c r="AN23" s="70">
        <f t="shared" si="14"/>
        <v>757163.72727272729</v>
      </c>
      <c r="AO23" s="70">
        <f t="shared" si="19"/>
        <v>22</v>
      </c>
      <c r="AP23" s="70">
        <f t="shared" si="19"/>
        <v>16657602</v>
      </c>
      <c r="AQ23" s="70">
        <f t="shared" si="15"/>
        <v>686422.35714285716</v>
      </c>
      <c r="AR23" s="70">
        <v>14</v>
      </c>
      <c r="AS23" s="70">
        <v>9609913</v>
      </c>
      <c r="AT23" s="70">
        <f t="shared" si="16"/>
        <v>880961.125</v>
      </c>
      <c r="AU23" s="70">
        <v>8</v>
      </c>
      <c r="AV23" s="71">
        <v>7047689</v>
      </c>
    </row>
    <row r="24" spans="1:48" ht="24" customHeight="1">
      <c r="A24" s="118"/>
      <c r="B24" s="122"/>
      <c r="C24" s="69" t="s">
        <v>89</v>
      </c>
      <c r="D24" s="70">
        <f t="shared" si="0"/>
        <v>1446275.3627978477</v>
      </c>
      <c r="E24" s="70">
        <f t="shared" si="17"/>
        <v>1301</v>
      </c>
      <c r="F24" s="70">
        <f t="shared" si="17"/>
        <v>1881604247</v>
      </c>
      <c r="G24" s="70">
        <f t="shared" si="6"/>
        <v>1444323.2724505328</v>
      </c>
      <c r="H24" s="70">
        <v>657</v>
      </c>
      <c r="I24" s="70">
        <v>948920390</v>
      </c>
      <c r="J24" s="70">
        <f t="shared" si="2"/>
        <v>1448266.8586956521</v>
      </c>
      <c r="K24" s="70">
        <v>644</v>
      </c>
      <c r="L24" s="71">
        <v>932683857</v>
      </c>
      <c r="M24" s="118"/>
      <c r="N24" s="122"/>
      <c r="O24" s="69" t="s">
        <v>89</v>
      </c>
      <c r="P24" s="70">
        <f t="shared" si="7"/>
        <v>20208.045683988894</v>
      </c>
      <c r="Q24" s="70">
        <v>32587.42</v>
      </c>
      <c r="R24" s="70">
        <f t="shared" si="8"/>
        <v>7902336865</v>
      </c>
      <c r="S24" s="70">
        <f t="shared" si="9"/>
        <v>21295.332217405889</v>
      </c>
      <c r="T24" s="70">
        <v>12919</v>
      </c>
      <c r="U24" s="70">
        <v>3301372763</v>
      </c>
      <c r="V24" s="72">
        <f t="shared" si="10"/>
        <v>19493.872673385391</v>
      </c>
      <c r="W24" s="70">
        <v>19668.419999999998</v>
      </c>
      <c r="X24" s="71">
        <v>4600964102</v>
      </c>
      <c r="Y24" s="118"/>
      <c r="Z24" s="122"/>
      <c r="AA24" s="69" t="s">
        <v>89</v>
      </c>
      <c r="AB24" s="70">
        <f t="shared" si="11"/>
        <v>114746.25791855203</v>
      </c>
      <c r="AC24" s="70">
        <f t="shared" si="18"/>
        <v>221</v>
      </c>
      <c r="AD24" s="70">
        <f t="shared" si="18"/>
        <v>25358923</v>
      </c>
      <c r="AE24" s="70">
        <f t="shared" si="12"/>
        <v>118058.92105263157</v>
      </c>
      <c r="AF24" s="70">
        <v>114</v>
      </c>
      <c r="AG24" s="70">
        <v>13458717</v>
      </c>
      <c r="AH24" s="70">
        <f t="shared" si="13"/>
        <v>111216.8785046729</v>
      </c>
      <c r="AI24" s="70">
        <v>107</v>
      </c>
      <c r="AJ24" s="71">
        <v>11900206</v>
      </c>
      <c r="AK24" s="118"/>
      <c r="AL24" s="122"/>
      <c r="AM24" s="69" t="s">
        <v>89</v>
      </c>
      <c r="AN24" s="70">
        <f t="shared" si="14"/>
        <v>787215.97826086951</v>
      </c>
      <c r="AO24" s="70">
        <f t="shared" si="19"/>
        <v>92</v>
      </c>
      <c r="AP24" s="70">
        <f t="shared" si="19"/>
        <v>72423870</v>
      </c>
      <c r="AQ24" s="70">
        <f t="shared" si="15"/>
        <v>783245.19642857148</v>
      </c>
      <c r="AR24" s="70">
        <v>56</v>
      </c>
      <c r="AS24" s="70">
        <v>43861731</v>
      </c>
      <c r="AT24" s="70">
        <f t="shared" si="16"/>
        <v>793392.75</v>
      </c>
      <c r="AU24" s="70">
        <v>36</v>
      </c>
      <c r="AV24" s="71">
        <v>28562139</v>
      </c>
    </row>
    <row r="25" spans="1:48" ht="24" customHeight="1">
      <c r="A25" s="118"/>
      <c r="B25" s="122"/>
      <c r="C25" s="69" t="s">
        <v>90</v>
      </c>
      <c r="D25" s="70">
        <f t="shared" si="0"/>
        <v>1470581.7362229102</v>
      </c>
      <c r="E25" s="70">
        <f t="shared" si="17"/>
        <v>1615</v>
      </c>
      <c r="F25" s="70">
        <f t="shared" si="17"/>
        <v>2374989504</v>
      </c>
      <c r="G25" s="70">
        <f t="shared" si="6"/>
        <v>1497380.5600490195</v>
      </c>
      <c r="H25" s="70">
        <v>816</v>
      </c>
      <c r="I25" s="70">
        <v>1221862537</v>
      </c>
      <c r="J25" s="70">
        <f t="shared" si="2"/>
        <v>1443212.7246558198</v>
      </c>
      <c r="K25" s="70">
        <v>799</v>
      </c>
      <c r="L25" s="71">
        <v>1153126967</v>
      </c>
      <c r="M25" s="118"/>
      <c r="N25" s="122"/>
      <c r="O25" s="69" t="s">
        <v>90</v>
      </c>
      <c r="P25" s="70">
        <f t="shared" si="7"/>
        <v>19163.025974139146</v>
      </c>
      <c r="Q25" s="70">
        <v>29835.83</v>
      </c>
      <c r="R25" s="70">
        <f t="shared" si="8"/>
        <v>6860937423</v>
      </c>
      <c r="S25" s="70">
        <f t="shared" si="9"/>
        <v>20077.756176173694</v>
      </c>
      <c r="T25" s="70">
        <v>14116.75</v>
      </c>
      <c r="U25" s="70">
        <v>3401191974</v>
      </c>
      <c r="V25" s="72">
        <f t="shared" si="10"/>
        <v>18341.539119973942</v>
      </c>
      <c r="W25" s="70">
        <v>15719.08</v>
      </c>
      <c r="X25" s="71">
        <v>3459745449</v>
      </c>
      <c r="Y25" s="118"/>
      <c r="Z25" s="122"/>
      <c r="AA25" s="69" t="s">
        <v>90</v>
      </c>
      <c r="AB25" s="70">
        <f t="shared" si="11"/>
        <v>124877.09677419355</v>
      </c>
      <c r="AC25" s="70">
        <f t="shared" si="18"/>
        <v>372</v>
      </c>
      <c r="AD25" s="70">
        <f t="shared" si="18"/>
        <v>46454280</v>
      </c>
      <c r="AE25" s="70">
        <f t="shared" si="12"/>
        <v>156677.12244897959</v>
      </c>
      <c r="AF25" s="70">
        <v>196</v>
      </c>
      <c r="AG25" s="70">
        <v>30708716</v>
      </c>
      <c r="AH25" s="70">
        <f t="shared" si="13"/>
        <v>89463.431818181823</v>
      </c>
      <c r="AI25" s="70">
        <v>176</v>
      </c>
      <c r="AJ25" s="71">
        <v>15745564</v>
      </c>
      <c r="AK25" s="118"/>
      <c r="AL25" s="122"/>
      <c r="AM25" s="69" t="s">
        <v>90</v>
      </c>
      <c r="AN25" s="70">
        <f t="shared" si="14"/>
        <v>915005.86206896557</v>
      </c>
      <c r="AO25" s="70">
        <f t="shared" si="19"/>
        <v>58</v>
      </c>
      <c r="AP25" s="70">
        <f t="shared" si="19"/>
        <v>53070340</v>
      </c>
      <c r="AQ25" s="70">
        <f t="shared" si="15"/>
        <v>1027572.9166666666</v>
      </c>
      <c r="AR25" s="70">
        <v>36</v>
      </c>
      <c r="AS25" s="70">
        <v>36992625</v>
      </c>
      <c r="AT25" s="70">
        <f t="shared" si="16"/>
        <v>730805.22727272729</v>
      </c>
      <c r="AU25" s="70">
        <v>22</v>
      </c>
      <c r="AV25" s="71">
        <v>16077715</v>
      </c>
    </row>
    <row r="26" spans="1:48" ht="24" customHeight="1">
      <c r="A26" s="118"/>
      <c r="B26" s="122"/>
      <c r="C26" s="69" t="s">
        <v>91</v>
      </c>
      <c r="D26" s="70">
        <f t="shared" si="0"/>
        <v>1331720.8251366119</v>
      </c>
      <c r="E26" s="70">
        <f t="shared" si="17"/>
        <v>915</v>
      </c>
      <c r="F26" s="70">
        <f t="shared" si="17"/>
        <v>1218524555</v>
      </c>
      <c r="G26" s="70">
        <f t="shared" si="6"/>
        <v>1311823.0081799591</v>
      </c>
      <c r="H26" s="70">
        <v>489</v>
      </c>
      <c r="I26" s="70">
        <v>641481451</v>
      </c>
      <c r="J26" s="70">
        <f t="shared" si="2"/>
        <v>1354561.2769953052</v>
      </c>
      <c r="K26" s="70">
        <v>426</v>
      </c>
      <c r="L26" s="71">
        <v>577043104</v>
      </c>
      <c r="M26" s="118"/>
      <c r="N26" s="122"/>
      <c r="O26" s="69" t="s">
        <v>91</v>
      </c>
      <c r="P26" s="70">
        <f t="shared" si="7"/>
        <v>18383.164128377906</v>
      </c>
      <c r="Q26" s="70">
        <v>31090.5</v>
      </c>
      <c r="R26" s="70">
        <f t="shared" si="8"/>
        <v>6858501172</v>
      </c>
      <c r="S26" s="70">
        <f t="shared" si="9"/>
        <v>19245.866408365815</v>
      </c>
      <c r="T26" s="70">
        <v>13281.67</v>
      </c>
      <c r="U26" s="70">
        <v>3067406958</v>
      </c>
      <c r="V26" s="72">
        <f t="shared" si="10"/>
        <v>17739.768296588449</v>
      </c>
      <c r="W26" s="70">
        <v>17808.830000000002</v>
      </c>
      <c r="X26" s="71">
        <v>3791094214</v>
      </c>
      <c r="Y26" s="118"/>
      <c r="Z26" s="122"/>
      <c r="AA26" s="69" t="s">
        <v>91</v>
      </c>
      <c r="AB26" s="70">
        <f t="shared" si="11"/>
        <v>106938.1598173516</v>
      </c>
      <c r="AC26" s="70">
        <f t="shared" si="18"/>
        <v>219</v>
      </c>
      <c r="AD26" s="70">
        <f t="shared" si="18"/>
        <v>23419457</v>
      </c>
      <c r="AE26" s="70">
        <f t="shared" si="12"/>
        <v>126802.19266055046</v>
      </c>
      <c r="AF26" s="70">
        <v>109</v>
      </c>
      <c r="AG26" s="70">
        <v>13821439</v>
      </c>
      <c r="AH26" s="70">
        <f t="shared" si="13"/>
        <v>87254.709090909091</v>
      </c>
      <c r="AI26" s="70">
        <v>110</v>
      </c>
      <c r="AJ26" s="71">
        <v>9598018</v>
      </c>
      <c r="AK26" s="118"/>
      <c r="AL26" s="122"/>
      <c r="AM26" s="69" t="s">
        <v>91</v>
      </c>
      <c r="AN26" s="70">
        <f t="shared" si="14"/>
        <v>719522.11811023625</v>
      </c>
      <c r="AO26" s="70">
        <f t="shared" si="19"/>
        <v>127</v>
      </c>
      <c r="AP26" s="70">
        <f t="shared" si="19"/>
        <v>91379309</v>
      </c>
      <c r="AQ26" s="70">
        <f t="shared" si="15"/>
        <v>800752.30120481923</v>
      </c>
      <c r="AR26" s="70">
        <v>83</v>
      </c>
      <c r="AS26" s="70">
        <v>66462441</v>
      </c>
      <c r="AT26" s="70">
        <f t="shared" si="16"/>
        <v>566292.45454545459</v>
      </c>
      <c r="AU26" s="70">
        <v>44</v>
      </c>
      <c r="AV26" s="71">
        <v>24916868</v>
      </c>
    </row>
    <row r="27" spans="1:48" ht="24" customHeight="1">
      <c r="A27" s="118"/>
      <c r="B27" s="122"/>
      <c r="C27" s="69" t="s">
        <v>92</v>
      </c>
      <c r="D27" s="70">
        <f t="shared" si="0"/>
        <v>1084976.3759999999</v>
      </c>
      <c r="E27" s="70">
        <f t="shared" si="17"/>
        <v>125</v>
      </c>
      <c r="F27" s="70">
        <f t="shared" si="17"/>
        <v>135622047</v>
      </c>
      <c r="G27" s="70">
        <f t="shared" si="6"/>
        <v>1055730.2337662338</v>
      </c>
      <c r="H27" s="70">
        <v>77</v>
      </c>
      <c r="I27" s="70">
        <v>81291228</v>
      </c>
      <c r="J27" s="70">
        <f t="shared" si="2"/>
        <v>1131892.0625</v>
      </c>
      <c r="K27" s="70">
        <v>48</v>
      </c>
      <c r="L27" s="71">
        <v>54330819</v>
      </c>
      <c r="M27" s="118"/>
      <c r="N27" s="122"/>
      <c r="O27" s="69" t="s">
        <v>92</v>
      </c>
      <c r="P27" s="70">
        <f t="shared" si="7"/>
        <v>20773.228191998114</v>
      </c>
      <c r="Q27" s="70">
        <v>3899.83</v>
      </c>
      <c r="R27" s="70">
        <f t="shared" si="8"/>
        <v>972144702</v>
      </c>
      <c r="S27" s="70">
        <f t="shared" si="9"/>
        <v>23466.743243243243</v>
      </c>
      <c r="T27" s="70">
        <v>1572.5</v>
      </c>
      <c r="U27" s="70">
        <v>442817445</v>
      </c>
      <c r="V27" s="72">
        <f t="shared" si="10"/>
        <v>18953.309049425738</v>
      </c>
      <c r="W27" s="70">
        <v>2327.33</v>
      </c>
      <c r="X27" s="71">
        <v>529327257</v>
      </c>
      <c r="Y27" s="118"/>
      <c r="Z27" s="122"/>
      <c r="AA27" s="69" t="s">
        <v>92</v>
      </c>
      <c r="AB27" s="70">
        <f t="shared" si="11"/>
        <v>199991.36</v>
      </c>
      <c r="AC27" s="70">
        <f t="shared" si="18"/>
        <v>25</v>
      </c>
      <c r="AD27" s="70">
        <f t="shared" si="18"/>
        <v>4999784</v>
      </c>
      <c r="AE27" s="70">
        <f t="shared" si="12"/>
        <v>219854.83333333334</v>
      </c>
      <c r="AF27" s="70">
        <v>18</v>
      </c>
      <c r="AG27" s="70">
        <v>3957387</v>
      </c>
      <c r="AH27" s="70">
        <f>AJ27/AI27</f>
        <v>148913.85714285713</v>
      </c>
      <c r="AI27" s="70">
        <v>7</v>
      </c>
      <c r="AJ27" s="71">
        <v>1042397</v>
      </c>
      <c r="AK27" s="118"/>
      <c r="AL27" s="122"/>
      <c r="AM27" s="69" t="s">
        <v>92</v>
      </c>
      <c r="AN27" s="70">
        <f t="shared" si="14"/>
        <v>646320.6</v>
      </c>
      <c r="AO27" s="70">
        <f t="shared" si="19"/>
        <v>15</v>
      </c>
      <c r="AP27" s="70">
        <f t="shared" si="19"/>
        <v>9694809</v>
      </c>
      <c r="AQ27" s="70">
        <f t="shared" si="15"/>
        <v>700253</v>
      </c>
      <c r="AR27" s="70">
        <v>10</v>
      </c>
      <c r="AS27" s="70">
        <v>7002530</v>
      </c>
      <c r="AT27" s="70">
        <f t="shared" si="16"/>
        <v>538455.80000000005</v>
      </c>
      <c r="AU27" s="70">
        <v>5</v>
      </c>
      <c r="AV27" s="71">
        <v>2692279</v>
      </c>
    </row>
    <row r="28" spans="1:48" ht="24" customHeight="1">
      <c r="A28" s="119"/>
      <c r="B28" s="123"/>
      <c r="C28" s="69" t="s">
        <v>93</v>
      </c>
      <c r="D28" s="70">
        <f t="shared" si="0"/>
        <v>856394.30769230775</v>
      </c>
      <c r="E28" s="70">
        <f t="shared" si="17"/>
        <v>26</v>
      </c>
      <c r="F28" s="70">
        <f t="shared" si="17"/>
        <v>22266252</v>
      </c>
      <c r="G28" s="70">
        <f t="shared" si="6"/>
        <v>893166.75</v>
      </c>
      <c r="H28" s="70">
        <v>20</v>
      </c>
      <c r="I28" s="70">
        <v>17863335</v>
      </c>
      <c r="J28" s="70">
        <f t="shared" si="2"/>
        <v>733819.5</v>
      </c>
      <c r="K28" s="70">
        <v>6</v>
      </c>
      <c r="L28" s="71">
        <v>4402917</v>
      </c>
      <c r="M28" s="119"/>
      <c r="N28" s="123"/>
      <c r="O28" s="69" t="s">
        <v>93</v>
      </c>
      <c r="P28" s="70">
        <f t="shared" si="7"/>
        <v>18768.115243602824</v>
      </c>
      <c r="Q28" s="70">
        <v>617.33000000000004</v>
      </c>
      <c r="R28" s="70">
        <f t="shared" si="8"/>
        <v>139033447</v>
      </c>
      <c r="S28" s="70">
        <f t="shared" si="9"/>
        <v>20493.080717488789</v>
      </c>
      <c r="T28" s="70">
        <v>278.75</v>
      </c>
      <c r="U28" s="70">
        <v>68549355</v>
      </c>
      <c r="V28" s="72">
        <f t="shared" si="10"/>
        <v>17347.966014925081</v>
      </c>
      <c r="W28" s="70">
        <v>338.58</v>
      </c>
      <c r="X28" s="71">
        <v>70484092</v>
      </c>
      <c r="Y28" s="119"/>
      <c r="Z28" s="123"/>
      <c r="AA28" s="69" t="s">
        <v>93</v>
      </c>
      <c r="AB28" s="70">
        <f t="shared" si="11"/>
        <v>88011.5</v>
      </c>
      <c r="AC28" s="70">
        <f t="shared" si="18"/>
        <v>4</v>
      </c>
      <c r="AD28" s="70">
        <f t="shared" si="18"/>
        <v>352046</v>
      </c>
      <c r="AE28" s="70">
        <f t="shared" si="12"/>
        <v>111908.66666666667</v>
      </c>
      <c r="AF28" s="70">
        <v>3</v>
      </c>
      <c r="AG28" s="70">
        <v>335726</v>
      </c>
      <c r="AH28" s="70">
        <f>AJ28/AI28</f>
        <v>16320</v>
      </c>
      <c r="AI28" s="70">
        <v>1</v>
      </c>
      <c r="AJ28" s="71">
        <v>16320</v>
      </c>
      <c r="AK28" s="119"/>
      <c r="AL28" s="123"/>
      <c r="AM28" s="69" t="s">
        <v>93</v>
      </c>
      <c r="AN28" s="70">
        <f t="shared" si="14"/>
        <v>23083</v>
      </c>
      <c r="AO28" s="70">
        <f t="shared" si="19"/>
        <v>1</v>
      </c>
      <c r="AP28" s="70">
        <f t="shared" si="19"/>
        <v>23083</v>
      </c>
      <c r="AQ28" s="70">
        <v>0</v>
      </c>
      <c r="AR28" s="70">
        <v>0</v>
      </c>
      <c r="AS28" s="70">
        <v>0</v>
      </c>
      <c r="AT28" s="70">
        <f t="shared" si="16"/>
        <v>23083</v>
      </c>
      <c r="AU28" s="70">
        <v>1</v>
      </c>
      <c r="AV28" s="71">
        <v>23083</v>
      </c>
    </row>
    <row r="29" spans="1:48" ht="28.9" customHeight="1">
      <c r="A29" s="124" t="s">
        <v>145</v>
      </c>
      <c r="B29" s="128" t="s">
        <v>63</v>
      </c>
      <c r="C29" s="63" t="s">
        <v>76</v>
      </c>
      <c r="D29" s="64">
        <f t="shared" si="0"/>
        <v>1323768.7729690783</v>
      </c>
      <c r="E29" s="64">
        <f>SUM(E30:E38)</f>
        <v>65229</v>
      </c>
      <c r="F29" s="64">
        <f>SUM(F30:F38)</f>
        <v>86348113292</v>
      </c>
      <c r="G29" s="64">
        <f t="shared" si="6"/>
        <v>1348829.682054972</v>
      </c>
      <c r="H29" s="64">
        <f>SUM(H30:H38)</f>
        <v>34745</v>
      </c>
      <c r="I29" s="64">
        <f>SUM(I30:I38)</f>
        <v>46865087303</v>
      </c>
      <c r="J29" s="64">
        <f t="shared" si="2"/>
        <v>1295204.8940099725</v>
      </c>
      <c r="K29" s="64">
        <f>SUM(K30:K38)</f>
        <v>30484</v>
      </c>
      <c r="L29" s="65">
        <f>SUM(L30:L38)</f>
        <v>39483025989</v>
      </c>
      <c r="M29" s="124" t="s">
        <v>146</v>
      </c>
      <c r="N29" s="128" t="s">
        <v>63</v>
      </c>
      <c r="O29" s="63" t="s">
        <v>76</v>
      </c>
      <c r="P29" s="64">
        <f>R29/Q29/12</f>
        <v>18669.857488556609</v>
      </c>
      <c r="Q29" s="64">
        <v>1675917.58</v>
      </c>
      <c r="R29" s="64">
        <f>SUM(R30:R38)</f>
        <v>375469708574</v>
      </c>
      <c r="S29" s="64">
        <f>U29/T29/12</f>
        <v>19970.022312834422</v>
      </c>
      <c r="T29" s="64">
        <v>771193.67</v>
      </c>
      <c r="U29" s="64">
        <f>SUM(U30:U38)</f>
        <v>184809057569</v>
      </c>
      <c r="V29" s="64">
        <f>X29/W29/12</f>
        <v>17561.586725539433</v>
      </c>
      <c r="W29" s="64">
        <v>904723.92</v>
      </c>
      <c r="X29" s="65">
        <f>SUM(X30:X38)</f>
        <v>190660651005</v>
      </c>
      <c r="Y29" s="124" t="s">
        <v>149</v>
      </c>
      <c r="Z29" s="128" t="s">
        <v>63</v>
      </c>
      <c r="AA29" s="63" t="s">
        <v>76</v>
      </c>
      <c r="AB29" s="64">
        <f t="shared" si="11"/>
        <v>90104.153596744974</v>
      </c>
      <c r="AC29" s="64">
        <f>SUM(AC30:AC38)</f>
        <v>31459</v>
      </c>
      <c r="AD29" s="64">
        <f>SUM(AD30:AD38)</f>
        <v>2834586568</v>
      </c>
      <c r="AE29" s="64">
        <f t="shared" si="12"/>
        <v>96410.813969069291</v>
      </c>
      <c r="AF29" s="64">
        <f>SUM(AF30:AF38)</f>
        <v>17911</v>
      </c>
      <c r="AG29" s="64">
        <f>SUM(AG30:AG38)</f>
        <v>1726814089</v>
      </c>
      <c r="AH29" s="64">
        <f t="shared" si="13"/>
        <v>81766.495349867138</v>
      </c>
      <c r="AI29" s="64">
        <f>SUM(AI30:AI38)</f>
        <v>13548</v>
      </c>
      <c r="AJ29" s="65">
        <f>SUM(AJ30:AJ38)</f>
        <v>1107772479</v>
      </c>
      <c r="AK29" s="124" t="s">
        <v>151</v>
      </c>
      <c r="AL29" s="128" t="s">
        <v>63</v>
      </c>
      <c r="AM29" s="63" t="s">
        <v>76</v>
      </c>
      <c r="AN29" s="64">
        <f t="shared" si="14"/>
        <v>756666.5205826473</v>
      </c>
      <c r="AO29" s="64">
        <f>SUM(AO30:AO38)</f>
        <v>4737</v>
      </c>
      <c r="AP29" s="64">
        <f>SUM(AP30:AP38)</f>
        <v>3584329308</v>
      </c>
      <c r="AQ29" s="64">
        <f t="shared" si="15"/>
        <v>791570.86545576854</v>
      </c>
      <c r="AR29" s="64">
        <f>SUM(AR30:AR38)</f>
        <v>2973</v>
      </c>
      <c r="AS29" s="64">
        <f>SUM(AS30:AS38)</f>
        <v>2353340183</v>
      </c>
      <c r="AT29" s="64">
        <f t="shared" si="16"/>
        <v>697839.64002267574</v>
      </c>
      <c r="AU29" s="64">
        <f>SUM(AU30:AU38)</f>
        <v>1764</v>
      </c>
      <c r="AV29" s="65">
        <f>SUM(AV30:AV38)</f>
        <v>1230989125</v>
      </c>
    </row>
    <row r="30" spans="1:48" ht="28.9" customHeight="1">
      <c r="A30" s="125"/>
      <c r="B30" s="129"/>
      <c r="C30" s="69" t="s">
        <v>136</v>
      </c>
      <c r="D30" s="70">
        <v>0</v>
      </c>
      <c r="E30" s="70">
        <f t="shared" ref="E30:F38" si="20">H30+K30</f>
        <v>0</v>
      </c>
      <c r="F30" s="70">
        <f t="shared" si="20"/>
        <v>0</v>
      </c>
      <c r="G30" s="70">
        <v>0</v>
      </c>
      <c r="H30" s="70">
        <v>0</v>
      </c>
      <c r="I30" s="70">
        <v>0</v>
      </c>
      <c r="J30" s="70">
        <v>0</v>
      </c>
      <c r="K30" s="70">
        <v>0</v>
      </c>
      <c r="L30" s="71">
        <v>0</v>
      </c>
      <c r="M30" s="125"/>
      <c r="N30" s="129"/>
      <c r="O30" s="69" t="s">
        <v>136</v>
      </c>
      <c r="P30" s="70">
        <v>0</v>
      </c>
      <c r="Q30" s="70">
        <v>0</v>
      </c>
      <c r="R30" s="70">
        <v>0</v>
      </c>
      <c r="S30" s="70">
        <v>0</v>
      </c>
      <c r="T30" s="70">
        <v>0</v>
      </c>
      <c r="U30" s="70">
        <v>0</v>
      </c>
      <c r="V30" s="70">
        <v>0</v>
      </c>
      <c r="W30" s="70">
        <v>0</v>
      </c>
      <c r="X30" s="71">
        <v>0</v>
      </c>
      <c r="Y30" s="125"/>
      <c r="Z30" s="129"/>
      <c r="AA30" s="69" t="s">
        <v>136</v>
      </c>
      <c r="AB30" s="70">
        <v>0</v>
      </c>
      <c r="AC30" s="70">
        <f t="shared" ref="AC30:AD38" si="21">AF30+AI30</f>
        <v>0</v>
      </c>
      <c r="AD30" s="70">
        <f t="shared" si="21"/>
        <v>0</v>
      </c>
      <c r="AE30" s="70">
        <v>0</v>
      </c>
      <c r="AF30" s="70">
        <v>0</v>
      </c>
      <c r="AG30" s="70">
        <v>0</v>
      </c>
      <c r="AH30" s="70">
        <v>0</v>
      </c>
      <c r="AI30" s="70">
        <v>0</v>
      </c>
      <c r="AJ30" s="71">
        <v>0</v>
      </c>
      <c r="AK30" s="125"/>
      <c r="AL30" s="129"/>
      <c r="AM30" s="69" t="s">
        <v>136</v>
      </c>
      <c r="AN30" s="70">
        <v>0</v>
      </c>
      <c r="AO30" s="70">
        <f t="shared" ref="AO30:AP38" si="22">AR30+AU30</f>
        <v>0</v>
      </c>
      <c r="AP30" s="70">
        <f t="shared" si="22"/>
        <v>0</v>
      </c>
      <c r="AQ30" s="70">
        <v>0</v>
      </c>
      <c r="AR30" s="70">
        <v>0</v>
      </c>
      <c r="AS30" s="70">
        <v>0</v>
      </c>
      <c r="AT30" s="70">
        <v>0</v>
      </c>
      <c r="AU30" s="70">
        <v>0</v>
      </c>
      <c r="AV30" s="71">
        <v>0</v>
      </c>
    </row>
    <row r="31" spans="1:48" ht="28.9" customHeight="1">
      <c r="A31" s="125"/>
      <c r="B31" s="129"/>
      <c r="C31" s="69" t="s">
        <v>112</v>
      </c>
      <c r="D31" s="70">
        <f t="shared" si="0"/>
        <v>602993.5</v>
      </c>
      <c r="E31" s="70">
        <f t="shared" si="20"/>
        <v>2</v>
      </c>
      <c r="F31" s="70">
        <f t="shared" si="20"/>
        <v>1205987</v>
      </c>
      <c r="G31" s="70">
        <f t="shared" si="6"/>
        <v>16981</v>
      </c>
      <c r="H31" s="70">
        <v>1</v>
      </c>
      <c r="I31" s="70">
        <v>16981</v>
      </c>
      <c r="J31" s="70">
        <f t="shared" si="2"/>
        <v>1189006</v>
      </c>
      <c r="K31" s="70">
        <v>1</v>
      </c>
      <c r="L31" s="71">
        <v>1189006</v>
      </c>
      <c r="M31" s="125"/>
      <c r="N31" s="129"/>
      <c r="O31" s="69" t="s">
        <v>112</v>
      </c>
      <c r="P31" s="70">
        <v>0</v>
      </c>
      <c r="Q31" s="70">
        <v>0</v>
      </c>
      <c r="R31" s="70">
        <v>0</v>
      </c>
      <c r="S31" s="70">
        <v>0</v>
      </c>
      <c r="T31" s="70">
        <v>0</v>
      </c>
      <c r="U31" s="70">
        <v>0</v>
      </c>
      <c r="V31" s="70">
        <v>0</v>
      </c>
      <c r="W31" s="70">
        <v>0</v>
      </c>
      <c r="X31" s="71">
        <v>0</v>
      </c>
      <c r="Y31" s="125"/>
      <c r="Z31" s="129"/>
      <c r="AA31" s="69" t="s">
        <v>112</v>
      </c>
      <c r="AB31" s="70">
        <v>0</v>
      </c>
      <c r="AC31" s="70">
        <f t="shared" si="21"/>
        <v>0</v>
      </c>
      <c r="AD31" s="70">
        <f t="shared" si="21"/>
        <v>0</v>
      </c>
      <c r="AE31" s="70">
        <v>0</v>
      </c>
      <c r="AF31" s="70">
        <v>0</v>
      </c>
      <c r="AG31" s="70">
        <v>0</v>
      </c>
      <c r="AH31" s="70">
        <v>0</v>
      </c>
      <c r="AI31" s="70">
        <v>0</v>
      </c>
      <c r="AJ31" s="71">
        <v>0</v>
      </c>
      <c r="AK31" s="125"/>
      <c r="AL31" s="129"/>
      <c r="AM31" s="69" t="s">
        <v>112</v>
      </c>
      <c r="AN31" s="70">
        <v>0</v>
      </c>
      <c r="AO31" s="70">
        <f t="shared" si="22"/>
        <v>0</v>
      </c>
      <c r="AP31" s="70">
        <f t="shared" si="22"/>
        <v>0</v>
      </c>
      <c r="AQ31" s="70">
        <v>0</v>
      </c>
      <c r="AR31" s="70">
        <v>0</v>
      </c>
      <c r="AS31" s="70">
        <v>0</v>
      </c>
      <c r="AT31" s="70">
        <v>0</v>
      </c>
      <c r="AU31" s="70">
        <v>0</v>
      </c>
      <c r="AV31" s="71">
        <v>0</v>
      </c>
    </row>
    <row r="32" spans="1:48" ht="28.9" customHeight="1">
      <c r="A32" s="125"/>
      <c r="B32" s="129"/>
      <c r="C32" s="69" t="s">
        <v>113</v>
      </c>
      <c r="D32" s="70">
        <f t="shared" si="0"/>
        <v>1377317.1022727273</v>
      </c>
      <c r="E32" s="70">
        <f t="shared" si="20"/>
        <v>264</v>
      </c>
      <c r="F32" s="70">
        <f t="shared" si="20"/>
        <v>363611715</v>
      </c>
      <c r="G32" s="70">
        <f t="shared" si="6"/>
        <v>1343847.1782178218</v>
      </c>
      <c r="H32" s="70">
        <v>101</v>
      </c>
      <c r="I32" s="70">
        <v>135728565</v>
      </c>
      <c r="J32" s="70">
        <f t="shared" si="2"/>
        <v>1398056.134969325</v>
      </c>
      <c r="K32" s="70">
        <v>163</v>
      </c>
      <c r="L32" s="71">
        <v>227883150</v>
      </c>
      <c r="M32" s="125"/>
      <c r="N32" s="129"/>
      <c r="O32" s="69" t="s">
        <v>113</v>
      </c>
      <c r="P32" s="70">
        <v>0</v>
      </c>
      <c r="Q32" s="70">
        <v>0</v>
      </c>
      <c r="R32" s="70">
        <v>0</v>
      </c>
      <c r="S32" s="70">
        <v>0</v>
      </c>
      <c r="T32" s="70">
        <v>0</v>
      </c>
      <c r="U32" s="70">
        <v>0</v>
      </c>
      <c r="V32" s="70">
        <v>0</v>
      </c>
      <c r="W32" s="70">
        <v>0</v>
      </c>
      <c r="X32" s="71">
        <v>0</v>
      </c>
      <c r="Y32" s="125"/>
      <c r="Z32" s="129"/>
      <c r="AA32" s="69" t="s">
        <v>113</v>
      </c>
      <c r="AB32" s="70">
        <v>0</v>
      </c>
      <c r="AC32" s="70">
        <f t="shared" si="21"/>
        <v>0</v>
      </c>
      <c r="AD32" s="70">
        <f t="shared" si="21"/>
        <v>0</v>
      </c>
      <c r="AE32" s="70">
        <v>0</v>
      </c>
      <c r="AF32" s="70">
        <v>0</v>
      </c>
      <c r="AG32" s="70">
        <v>0</v>
      </c>
      <c r="AH32" s="70">
        <v>0</v>
      </c>
      <c r="AI32" s="70">
        <v>0</v>
      </c>
      <c r="AJ32" s="71">
        <v>0</v>
      </c>
      <c r="AK32" s="125"/>
      <c r="AL32" s="129"/>
      <c r="AM32" s="69" t="s">
        <v>113</v>
      </c>
      <c r="AN32" s="70">
        <v>0</v>
      </c>
      <c r="AO32" s="70">
        <f t="shared" si="22"/>
        <v>0</v>
      </c>
      <c r="AP32" s="70">
        <f t="shared" si="22"/>
        <v>0</v>
      </c>
      <c r="AQ32" s="70">
        <v>0</v>
      </c>
      <c r="AR32" s="70">
        <v>0</v>
      </c>
      <c r="AS32" s="70">
        <v>0</v>
      </c>
      <c r="AT32" s="70">
        <v>0</v>
      </c>
      <c r="AU32" s="70">
        <v>0</v>
      </c>
      <c r="AV32" s="71">
        <v>0</v>
      </c>
    </row>
    <row r="33" spans="1:48" ht="28.9" customHeight="1">
      <c r="A33" s="125"/>
      <c r="B33" s="129"/>
      <c r="C33" s="69" t="s">
        <v>114</v>
      </c>
      <c r="D33" s="70">
        <f t="shared" si="0"/>
        <v>1642534.7828124999</v>
      </c>
      <c r="E33" s="70">
        <f t="shared" si="20"/>
        <v>2560</v>
      </c>
      <c r="F33" s="70">
        <f t="shared" si="20"/>
        <v>4204889044</v>
      </c>
      <c r="G33" s="70">
        <f t="shared" si="6"/>
        <v>1618470.8513853904</v>
      </c>
      <c r="H33" s="70">
        <v>1191</v>
      </c>
      <c r="I33" s="70">
        <v>1927598784</v>
      </c>
      <c r="J33" s="70">
        <f t="shared" si="2"/>
        <v>1663469.8758217676</v>
      </c>
      <c r="K33" s="70">
        <v>1369</v>
      </c>
      <c r="L33" s="71">
        <v>2277290260</v>
      </c>
      <c r="M33" s="125"/>
      <c r="N33" s="129"/>
      <c r="O33" s="69" t="s">
        <v>114</v>
      </c>
      <c r="P33" s="70">
        <v>0</v>
      </c>
      <c r="Q33" s="70">
        <v>0</v>
      </c>
      <c r="R33" s="70">
        <v>0</v>
      </c>
      <c r="S33" s="70">
        <v>0</v>
      </c>
      <c r="T33" s="70">
        <v>0</v>
      </c>
      <c r="U33" s="70">
        <v>0</v>
      </c>
      <c r="V33" s="70">
        <v>0</v>
      </c>
      <c r="W33" s="70">
        <v>0</v>
      </c>
      <c r="X33" s="71">
        <v>0</v>
      </c>
      <c r="Y33" s="125"/>
      <c r="Z33" s="129"/>
      <c r="AA33" s="69" t="s">
        <v>114</v>
      </c>
      <c r="AB33" s="70">
        <v>0</v>
      </c>
      <c r="AC33" s="70">
        <f t="shared" si="21"/>
        <v>0</v>
      </c>
      <c r="AD33" s="70">
        <f t="shared" si="21"/>
        <v>0</v>
      </c>
      <c r="AE33" s="70">
        <v>0</v>
      </c>
      <c r="AF33" s="70">
        <v>0</v>
      </c>
      <c r="AG33" s="70">
        <v>0</v>
      </c>
      <c r="AH33" s="70">
        <v>0</v>
      </c>
      <c r="AI33" s="70">
        <v>0</v>
      </c>
      <c r="AJ33" s="71">
        <v>0</v>
      </c>
      <c r="AK33" s="125"/>
      <c r="AL33" s="129"/>
      <c r="AM33" s="69" t="s">
        <v>114</v>
      </c>
      <c r="AN33" s="70">
        <v>0</v>
      </c>
      <c r="AO33" s="70">
        <f t="shared" si="22"/>
        <v>0</v>
      </c>
      <c r="AP33" s="70">
        <f t="shared" si="22"/>
        <v>0</v>
      </c>
      <c r="AQ33" s="70">
        <v>0</v>
      </c>
      <c r="AR33" s="70">
        <v>0</v>
      </c>
      <c r="AS33" s="70">
        <v>0</v>
      </c>
      <c r="AT33" s="70">
        <v>0</v>
      </c>
      <c r="AU33" s="70">
        <v>0</v>
      </c>
      <c r="AV33" s="71">
        <v>0</v>
      </c>
    </row>
    <row r="34" spans="1:48" ht="28.9" customHeight="1">
      <c r="A34" s="125"/>
      <c r="B34" s="129"/>
      <c r="C34" s="69" t="s">
        <v>115</v>
      </c>
      <c r="D34" s="70">
        <f t="shared" si="0"/>
        <v>1591739.1921974591</v>
      </c>
      <c r="E34" s="70">
        <f t="shared" si="20"/>
        <v>23377</v>
      </c>
      <c r="F34" s="70">
        <f t="shared" si="20"/>
        <v>37210087096</v>
      </c>
      <c r="G34" s="70">
        <f t="shared" si="6"/>
        <v>1611866.2198654059</v>
      </c>
      <c r="H34" s="70">
        <v>11739</v>
      </c>
      <c r="I34" s="70">
        <v>18921697555</v>
      </c>
      <c r="J34" s="70">
        <f t="shared" si="2"/>
        <v>1571437.4927822649</v>
      </c>
      <c r="K34" s="70">
        <v>11638</v>
      </c>
      <c r="L34" s="71">
        <v>18288389541</v>
      </c>
      <c r="M34" s="125"/>
      <c r="N34" s="129"/>
      <c r="O34" s="69" t="s">
        <v>115</v>
      </c>
      <c r="P34" s="70">
        <v>0</v>
      </c>
      <c r="Q34" s="70">
        <v>0</v>
      </c>
      <c r="R34" s="70">
        <v>0</v>
      </c>
      <c r="S34" s="70">
        <v>0</v>
      </c>
      <c r="T34" s="70">
        <v>0</v>
      </c>
      <c r="U34" s="70">
        <v>0</v>
      </c>
      <c r="V34" s="70">
        <v>0</v>
      </c>
      <c r="W34" s="70">
        <v>0</v>
      </c>
      <c r="X34" s="71">
        <v>0</v>
      </c>
      <c r="Y34" s="125"/>
      <c r="Z34" s="129"/>
      <c r="AA34" s="69" t="s">
        <v>115</v>
      </c>
      <c r="AB34" s="70">
        <v>0</v>
      </c>
      <c r="AC34" s="70">
        <f t="shared" si="21"/>
        <v>0</v>
      </c>
      <c r="AD34" s="70">
        <f t="shared" si="21"/>
        <v>0</v>
      </c>
      <c r="AE34" s="70">
        <v>0</v>
      </c>
      <c r="AF34" s="70">
        <v>0</v>
      </c>
      <c r="AG34" s="70">
        <v>0</v>
      </c>
      <c r="AH34" s="70">
        <v>0</v>
      </c>
      <c r="AI34" s="70">
        <v>0</v>
      </c>
      <c r="AJ34" s="71">
        <v>0</v>
      </c>
      <c r="AK34" s="125"/>
      <c r="AL34" s="129"/>
      <c r="AM34" s="69" t="s">
        <v>115</v>
      </c>
      <c r="AN34" s="70">
        <v>0</v>
      </c>
      <c r="AO34" s="70">
        <f t="shared" si="22"/>
        <v>0</v>
      </c>
      <c r="AP34" s="70">
        <f t="shared" si="22"/>
        <v>0</v>
      </c>
      <c r="AQ34" s="70">
        <v>0</v>
      </c>
      <c r="AR34" s="70">
        <v>0</v>
      </c>
      <c r="AS34" s="70">
        <v>0</v>
      </c>
      <c r="AT34" s="70">
        <v>0</v>
      </c>
      <c r="AU34" s="70">
        <v>0</v>
      </c>
      <c r="AV34" s="71">
        <v>0</v>
      </c>
    </row>
    <row r="35" spans="1:48" ht="28.9" customHeight="1">
      <c r="A35" s="125"/>
      <c r="B35" s="129"/>
      <c r="C35" s="69" t="s">
        <v>116</v>
      </c>
      <c r="D35" s="70">
        <f t="shared" si="0"/>
        <v>1270016.9760984348</v>
      </c>
      <c r="E35" s="70">
        <f t="shared" si="20"/>
        <v>21212</v>
      </c>
      <c r="F35" s="70">
        <f t="shared" si="20"/>
        <v>26939600097</v>
      </c>
      <c r="G35" s="70">
        <f t="shared" si="6"/>
        <v>1375615.1755420484</v>
      </c>
      <c r="H35" s="70">
        <v>11023</v>
      </c>
      <c r="I35" s="70">
        <v>15163406080</v>
      </c>
      <c r="J35" s="70">
        <f t="shared" si="2"/>
        <v>1155775.2494847383</v>
      </c>
      <c r="K35" s="70">
        <v>10189</v>
      </c>
      <c r="L35" s="71">
        <v>11776194017</v>
      </c>
      <c r="M35" s="125"/>
      <c r="N35" s="129"/>
      <c r="O35" s="69" t="s">
        <v>116</v>
      </c>
      <c r="P35" s="70">
        <v>0</v>
      </c>
      <c r="Q35" s="70">
        <v>0</v>
      </c>
      <c r="R35" s="70">
        <f t="shared" ref="R35:R38" si="23">U35+X35</f>
        <v>0</v>
      </c>
      <c r="S35" s="70">
        <v>0</v>
      </c>
      <c r="T35" s="70">
        <v>0</v>
      </c>
      <c r="U35" s="70">
        <v>0</v>
      </c>
      <c r="V35" s="70">
        <v>0</v>
      </c>
      <c r="W35" s="70">
        <v>0</v>
      </c>
      <c r="X35" s="71">
        <v>0</v>
      </c>
      <c r="Y35" s="125"/>
      <c r="Z35" s="129"/>
      <c r="AA35" s="69" t="s">
        <v>116</v>
      </c>
      <c r="AB35" s="70">
        <v>0</v>
      </c>
      <c r="AC35" s="70">
        <f t="shared" si="21"/>
        <v>0</v>
      </c>
      <c r="AD35" s="70">
        <f t="shared" si="21"/>
        <v>0</v>
      </c>
      <c r="AE35" s="70">
        <v>0</v>
      </c>
      <c r="AF35" s="70">
        <v>0</v>
      </c>
      <c r="AG35" s="70">
        <v>0</v>
      </c>
      <c r="AH35" s="70">
        <v>0</v>
      </c>
      <c r="AI35" s="70">
        <v>0</v>
      </c>
      <c r="AJ35" s="71">
        <v>0</v>
      </c>
      <c r="AK35" s="125"/>
      <c r="AL35" s="129"/>
      <c r="AM35" s="69" t="s">
        <v>116</v>
      </c>
      <c r="AN35" s="70">
        <f t="shared" si="14"/>
        <v>1491436</v>
      </c>
      <c r="AO35" s="70">
        <f>AR35+AU35</f>
        <v>1</v>
      </c>
      <c r="AP35" s="70">
        <f t="shared" si="22"/>
        <v>1491436</v>
      </c>
      <c r="AQ35" s="70">
        <v>0</v>
      </c>
      <c r="AR35" s="70">
        <v>0</v>
      </c>
      <c r="AS35" s="70">
        <v>0</v>
      </c>
      <c r="AT35" s="70">
        <f t="shared" si="16"/>
        <v>1491436</v>
      </c>
      <c r="AU35" s="70">
        <v>1</v>
      </c>
      <c r="AV35" s="71">
        <v>1491436</v>
      </c>
    </row>
    <row r="36" spans="1:48" ht="28.9" customHeight="1">
      <c r="A36" s="125"/>
      <c r="B36" s="129"/>
      <c r="C36" s="69" t="s">
        <v>117</v>
      </c>
      <c r="D36" s="70">
        <f t="shared" si="0"/>
        <v>1080082.3175400991</v>
      </c>
      <c r="E36" s="70">
        <f t="shared" si="20"/>
        <v>13529</v>
      </c>
      <c r="F36" s="70">
        <f t="shared" si="20"/>
        <v>14612433674</v>
      </c>
      <c r="G36" s="70">
        <f t="shared" si="6"/>
        <v>1091488.1062012624</v>
      </c>
      <c r="H36" s="70">
        <v>8079</v>
      </c>
      <c r="I36" s="70">
        <v>8818132410</v>
      </c>
      <c r="J36" s="70">
        <f t="shared" si="2"/>
        <v>1063174.543853211</v>
      </c>
      <c r="K36" s="70">
        <v>5450</v>
      </c>
      <c r="L36" s="71">
        <v>5794301264</v>
      </c>
      <c r="M36" s="125"/>
      <c r="N36" s="129"/>
      <c r="O36" s="69" t="s">
        <v>117</v>
      </c>
      <c r="P36" s="70">
        <f t="shared" ref="P36:P38" si="24">R36/Q36/12</f>
        <v>17973.562217792987</v>
      </c>
      <c r="Q36" s="70">
        <v>445153.42</v>
      </c>
      <c r="R36" s="70">
        <f t="shared" si="23"/>
        <v>96011912290</v>
      </c>
      <c r="S36" s="70">
        <f t="shared" ref="S36:S38" si="25">U36/T36/12</f>
        <v>18427.782872314372</v>
      </c>
      <c r="T36" s="70">
        <v>195432.67</v>
      </c>
      <c r="U36" s="70">
        <v>43216689707</v>
      </c>
      <c r="V36" s="70">
        <f t="shared" ref="V36:V38" si="26">X36/W36/12</f>
        <v>17618.086930768335</v>
      </c>
      <c r="W36" s="70">
        <v>249720.75</v>
      </c>
      <c r="X36" s="71">
        <v>52795222583</v>
      </c>
      <c r="Y36" s="125"/>
      <c r="Z36" s="129"/>
      <c r="AA36" s="69" t="s">
        <v>117</v>
      </c>
      <c r="AB36" s="70">
        <f t="shared" si="11"/>
        <v>115524.64727927928</v>
      </c>
      <c r="AC36" s="70">
        <f t="shared" si="21"/>
        <v>13875</v>
      </c>
      <c r="AD36" s="70">
        <f t="shared" si="21"/>
        <v>1602904481</v>
      </c>
      <c r="AE36" s="70">
        <f t="shared" si="12"/>
        <v>122282.32750538451</v>
      </c>
      <c r="AF36" s="70">
        <v>7893</v>
      </c>
      <c r="AG36" s="70">
        <v>965174411</v>
      </c>
      <c r="AH36" s="70">
        <f t="shared" si="13"/>
        <v>106608.16950852558</v>
      </c>
      <c r="AI36" s="70">
        <v>5982</v>
      </c>
      <c r="AJ36" s="71">
        <v>637730070</v>
      </c>
      <c r="AK36" s="125"/>
      <c r="AL36" s="129"/>
      <c r="AM36" s="69" t="s">
        <v>117</v>
      </c>
      <c r="AN36" s="70">
        <f t="shared" si="14"/>
        <v>1087659.9532509404</v>
      </c>
      <c r="AO36" s="70">
        <f t="shared" si="22"/>
        <v>1861</v>
      </c>
      <c r="AP36" s="70">
        <f t="shared" si="22"/>
        <v>2024135173</v>
      </c>
      <c r="AQ36" s="70">
        <f t="shared" si="15"/>
        <v>1111385.3392705682</v>
      </c>
      <c r="AR36" s="70">
        <v>1179</v>
      </c>
      <c r="AS36" s="70">
        <v>1310323315</v>
      </c>
      <c r="AT36" s="70">
        <f t="shared" si="16"/>
        <v>1046644.9530791789</v>
      </c>
      <c r="AU36" s="70">
        <v>682</v>
      </c>
      <c r="AV36" s="71">
        <v>713811858</v>
      </c>
    </row>
    <row r="37" spans="1:48" ht="28.9" customHeight="1">
      <c r="A37" s="126"/>
      <c r="B37" s="130"/>
      <c r="C37" s="69" t="s">
        <v>118</v>
      </c>
      <c r="D37" s="70">
        <f t="shared" si="0"/>
        <v>707197.45333333337</v>
      </c>
      <c r="E37" s="70">
        <f t="shared" si="20"/>
        <v>3975</v>
      </c>
      <c r="F37" s="70">
        <f t="shared" si="20"/>
        <v>2811109877</v>
      </c>
      <c r="G37" s="70">
        <f t="shared" si="6"/>
        <v>732374.66763125255</v>
      </c>
      <c r="H37" s="70">
        <v>2419</v>
      </c>
      <c r="I37" s="70">
        <v>1771614321</v>
      </c>
      <c r="J37" s="70">
        <f t="shared" si="2"/>
        <v>668056.26992287918</v>
      </c>
      <c r="K37" s="70">
        <v>1556</v>
      </c>
      <c r="L37" s="71">
        <v>1039495556</v>
      </c>
      <c r="M37" s="126"/>
      <c r="N37" s="130"/>
      <c r="O37" s="69" t="s">
        <v>118</v>
      </c>
      <c r="P37" s="70">
        <f t="shared" si="24"/>
        <v>19084.095898481017</v>
      </c>
      <c r="Q37" s="70">
        <v>696871.17</v>
      </c>
      <c r="R37" s="70">
        <f t="shared" si="23"/>
        <v>159589874846</v>
      </c>
      <c r="S37" s="70">
        <f t="shared" si="25"/>
        <v>20615.392322160038</v>
      </c>
      <c r="T37" s="70">
        <v>326945.08</v>
      </c>
      <c r="U37" s="70">
        <v>80881213104</v>
      </c>
      <c r="V37" s="70">
        <f t="shared" si="26"/>
        <v>17730.718378024783</v>
      </c>
      <c r="W37" s="70">
        <v>369926.08</v>
      </c>
      <c r="X37" s="71">
        <v>78708661742</v>
      </c>
      <c r="Y37" s="126"/>
      <c r="Z37" s="130"/>
      <c r="AA37" s="69" t="s">
        <v>118</v>
      </c>
      <c r="AB37" s="70">
        <f t="shared" si="11"/>
        <v>75184.636861051113</v>
      </c>
      <c r="AC37" s="70">
        <f t="shared" si="21"/>
        <v>13890</v>
      </c>
      <c r="AD37" s="70">
        <f t="shared" si="21"/>
        <v>1044314606</v>
      </c>
      <c r="AE37" s="70">
        <f t="shared" si="12"/>
        <v>81663.220489412954</v>
      </c>
      <c r="AF37" s="70">
        <v>7887</v>
      </c>
      <c r="AG37" s="70">
        <v>644077820</v>
      </c>
      <c r="AH37" s="70">
        <f t="shared" si="13"/>
        <v>66672.794602698646</v>
      </c>
      <c r="AI37" s="70">
        <v>6003</v>
      </c>
      <c r="AJ37" s="71">
        <v>400236786</v>
      </c>
      <c r="AK37" s="126"/>
      <c r="AL37" s="130"/>
      <c r="AM37" s="69" t="s">
        <v>118</v>
      </c>
      <c r="AN37" s="70">
        <f t="shared" si="14"/>
        <v>593414.3501458941</v>
      </c>
      <c r="AO37" s="70">
        <f t="shared" si="22"/>
        <v>2399</v>
      </c>
      <c r="AP37" s="70">
        <f t="shared" si="22"/>
        <v>1423601026</v>
      </c>
      <c r="AQ37" s="70">
        <f t="shared" si="15"/>
        <v>641169.24477410654</v>
      </c>
      <c r="AR37" s="70">
        <v>1483</v>
      </c>
      <c r="AS37" s="70">
        <v>950853990</v>
      </c>
      <c r="AT37" s="70">
        <f t="shared" si="16"/>
        <v>516099.38427947595</v>
      </c>
      <c r="AU37" s="70">
        <v>916</v>
      </c>
      <c r="AV37" s="71">
        <v>472747036</v>
      </c>
    </row>
    <row r="38" spans="1:48" ht="28.9" customHeight="1" thickBot="1">
      <c r="A38" s="127"/>
      <c r="B38" s="131"/>
      <c r="C38" s="73" t="s">
        <v>94</v>
      </c>
      <c r="D38" s="74">
        <f t="shared" si="0"/>
        <v>661857.42580645159</v>
      </c>
      <c r="E38" s="74">
        <f t="shared" si="20"/>
        <v>310</v>
      </c>
      <c r="F38" s="74">
        <f t="shared" si="20"/>
        <v>205175802</v>
      </c>
      <c r="G38" s="74">
        <f t="shared" si="6"/>
        <v>660898.99479166663</v>
      </c>
      <c r="H38" s="74">
        <v>192</v>
      </c>
      <c r="I38" s="74">
        <v>126892607</v>
      </c>
      <c r="J38" s="74">
        <f t="shared" si="2"/>
        <v>663416.90677966096</v>
      </c>
      <c r="K38" s="74">
        <v>118</v>
      </c>
      <c r="L38" s="75">
        <v>78283195</v>
      </c>
      <c r="M38" s="127"/>
      <c r="N38" s="131"/>
      <c r="O38" s="73" t="s">
        <v>94</v>
      </c>
      <c r="P38" s="74">
        <f t="shared" si="24"/>
        <v>18709.729202605515</v>
      </c>
      <c r="Q38" s="74">
        <v>533893</v>
      </c>
      <c r="R38" s="74">
        <f t="shared" si="23"/>
        <v>119867921438</v>
      </c>
      <c r="S38" s="74">
        <f t="shared" si="25"/>
        <v>20333.356870814376</v>
      </c>
      <c r="T38" s="74">
        <v>248815.92</v>
      </c>
      <c r="U38" s="74">
        <v>60711154758</v>
      </c>
      <c r="V38" s="74">
        <f t="shared" si="26"/>
        <v>17292.623302675423</v>
      </c>
      <c r="W38" s="74">
        <v>285077.08</v>
      </c>
      <c r="X38" s="75">
        <v>59156766680</v>
      </c>
      <c r="Y38" s="127"/>
      <c r="Z38" s="131"/>
      <c r="AA38" s="73" t="s">
        <v>94</v>
      </c>
      <c r="AB38" s="74">
        <f t="shared" si="11"/>
        <v>50722.11180292366</v>
      </c>
      <c r="AC38" s="74">
        <f t="shared" si="21"/>
        <v>3694</v>
      </c>
      <c r="AD38" s="74">
        <f t="shared" si="21"/>
        <v>187367481</v>
      </c>
      <c r="AE38" s="74">
        <f t="shared" si="12"/>
        <v>55167.460347254811</v>
      </c>
      <c r="AF38" s="74">
        <v>2131</v>
      </c>
      <c r="AG38" s="74">
        <v>117561858</v>
      </c>
      <c r="AH38" s="74">
        <f t="shared" si="13"/>
        <v>44661.307101727449</v>
      </c>
      <c r="AI38" s="74">
        <v>1563</v>
      </c>
      <c r="AJ38" s="75">
        <v>69805623</v>
      </c>
      <c r="AK38" s="127"/>
      <c r="AL38" s="131"/>
      <c r="AM38" s="73" t="s">
        <v>94</v>
      </c>
      <c r="AN38" s="74">
        <f t="shared" si="14"/>
        <v>283827.04411764705</v>
      </c>
      <c r="AO38" s="74">
        <f t="shared" si="22"/>
        <v>476</v>
      </c>
      <c r="AP38" s="74">
        <f t="shared" si="22"/>
        <v>135101673</v>
      </c>
      <c r="AQ38" s="74">
        <f t="shared" si="15"/>
        <v>296343.65916398715</v>
      </c>
      <c r="AR38" s="74">
        <v>311</v>
      </c>
      <c r="AS38" s="74">
        <v>92162878</v>
      </c>
      <c r="AT38" s="74">
        <f t="shared" si="16"/>
        <v>260235.12121212122</v>
      </c>
      <c r="AU38" s="74">
        <v>165</v>
      </c>
      <c r="AV38" s="75">
        <v>42938795</v>
      </c>
    </row>
    <row r="39" spans="1:48" s="77" customFormat="1" ht="190.15" customHeight="1">
      <c r="A39" s="132" t="s">
        <v>201</v>
      </c>
      <c r="B39" s="132"/>
      <c r="C39" s="132"/>
      <c r="D39" s="132"/>
      <c r="E39" s="132"/>
      <c r="F39" s="132"/>
      <c r="G39" s="132"/>
      <c r="H39" s="132"/>
      <c r="I39" s="132"/>
      <c r="J39" s="132"/>
      <c r="K39" s="132"/>
      <c r="L39" s="132"/>
      <c r="M39" s="132" t="s">
        <v>206</v>
      </c>
      <c r="N39" s="132"/>
      <c r="O39" s="132"/>
      <c r="P39" s="132"/>
      <c r="Q39" s="132"/>
      <c r="R39" s="132"/>
      <c r="S39" s="132"/>
      <c r="T39" s="132"/>
      <c r="U39" s="132"/>
      <c r="V39" s="132"/>
      <c r="W39" s="132"/>
      <c r="X39" s="132"/>
      <c r="Y39" s="133" t="s">
        <v>207</v>
      </c>
      <c r="Z39" s="133"/>
      <c r="AA39" s="133"/>
      <c r="AB39" s="133"/>
      <c r="AC39" s="133"/>
      <c r="AD39" s="133"/>
      <c r="AE39" s="133"/>
      <c r="AF39" s="133"/>
      <c r="AG39" s="133"/>
      <c r="AH39" s="133"/>
      <c r="AI39" s="133"/>
      <c r="AJ39" s="133"/>
      <c r="AK39" s="132" t="s">
        <v>203</v>
      </c>
      <c r="AL39" s="132"/>
      <c r="AM39" s="132"/>
      <c r="AN39" s="132"/>
      <c r="AO39" s="132"/>
      <c r="AP39" s="132"/>
      <c r="AQ39" s="132"/>
      <c r="AR39" s="132"/>
      <c r="AS39" s="132"/>
      <c r="AT39" s="132"/>
      <c r="AU39" s="132"/>
      <c r="AV39" s="132"/>
    </row>
  </sheetData>
  <mergeCells count="48">
    <mergeCell ref="AK29:AK38"/>
    <mergeCell ref="AL29:AL38"/>
    <mergeCell ref="A39:L39"/>
    <mergeCell ref="AK39:AV39"/>
    <mergeCell ref="A29:A38"/>
    <mergeCell ref="B29:B38"/>
    <mergeCell ref="M29:M38"/>
    <mergeCell ref="N29:N38"/>
    <mergeCell ref="Y29:Y38"/>
    <mergeCell ref="Z29:Z38"/>
    <mergeCell ref="M39:X39"/>
    <mergeCell ref="Y39:AJ39"/>
    <mergeCell ref="Z6:Z28"/>
    <mergeCell ref="AK6:AK28"/>
    <mergeCell ref="AL6:AL28"/>
    <mergeCell ref="D4:F4"/>
    <mergeCell ref="G4:I4"/>
    <mergeCell ref="J4:L4"/>
    <mergeCell ref="P4:R4"/>
    <mergeCell ref="S4:U4"/>
    <mergeCell ref="V4:X4"/>
    <mergeCell ref="Z3:AA5"/>
    <mergeCell ref="A6:A28"/>
    <mergeCell ref="B6:B28"/>
    <mergeCell ref="M6:M28"/>
    <mergeCell ref="N6:N28"/>
    <mergeCell ref="Y6:Y28"/>
    <mergeCell ref="AQ4:AS4"/>
    <mergeCell ref="A1:L1"/>
    <mergeCell ref="M1:X1"/>
    <mergeCell ref="Y1:AJ1"/>
    <mergeCell ref="AK1:AV1"/>
    <mergeCell ref="A3:A5"/>
    <mergeCell ref="B3:C5"/>
    <mergeCell ref="D3:L3"/>
    <mergeCell ref="M3:M5"/>
    <mergeCell ref="N3:O5"/>
    <mergeCell ref="P3:X3"/>
    <mergeCell ref="AN3:AV3"/>
    <mergeCell ref="AB4:AD4"/>
    <mergeCell ref="AT4:AV4"/>
    <mergeCell ref="AE4:AG4"/>
    <mergeCell ref="AH4:AJ4"/>
    <mergeCell ref="AN4:AP4"/>
    <mergeCell ref="Y3:Y5"/>
    <mergeCell ref="AB3:AJ3"/>
    <mergeCell ref="AK3:AK5"/>
    <mergeCell ref="AL3:AM5"/>
  </mergeCells>
  <phoneticPr fontId="14" type="noConversion"/>
  <printOptions horizontalCentered="1"/>
  <pageMargins left="0.15748031496062992" right="0.15748031496062992" top="0.59055118110236227" bottom="0.59055118110236227" header="0.51181102362204722" footer="0.31496062992125984"/>
  <pageSetup paperSize="9" orientation="portrait" r:id="rId1"/>
  <headerFooter alignWithMargins="0"/>
  <rowBreaks count="1" manualBreakCount="1">
    <brk id="28" max="16383" man="1"/>
  </rowBreaks>
  <colBreaks count="3" manualBreakCount="3">
    <brk id="24" max="1048575" man="1"/>
    <brk id="36" max="1048575" man="1"/>
    <brk id="12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V39"/>
  <sheetViews>
    <sheetView view="pageBreakPreview" zoomScale="80" zoomScaleNormal="80" zoomScaleSheetLayoutView="80" workbookViewId="0">
      <selection activeCell="A2" sqref="A2"/>
    </sheetView>
  </sheetViews>
  <sheetFormatPr defaultColWidth="9" defaultRowHeight="16.5"/>
  <cols>
    <col min="1" max="1" width="5.625" style="54" customWidth="1"/>
    <col min="2" max="2" width="3.5" style="54" customWidth="1"/>
    <col min="3" max="3" width="9.5" style="55" customWidth="1"/>
    <col min="4" max="4" width="8.25" style="53" customWidth="1"/>
    <col min="5" max="5" width="6.375" style="53" customWidth="1"/>
    <col min="6" max="6" width="12.75" style="53" customWidth="1"/>
    <col min="7" max="7" width="8.25" style="53" customWidth="1"/>
    <col min="8" max="8" width="6.25" style="53" customWidth="1"/>
    <col min="9" max="9" width="12" style="53" customWidth="1"/>
    <col min="10" max="10" width="8.25" style="53" customWidth="1"/>
    <col min="11" max="11" width="6.25" style="53" customWidth="1"/>
    <col min="12" max="12" width="12" style="53" customWidth="1"/>
    <col min="13" max="13" width="5.625" style="53" customWidth="1"/>
    <col min="14" max="14" width="3.5" style="53" customWidth="1"/>
    <col min="15" max="15" width="9.375" style="56" customWidth="1"/>
    <col min="16" max="16" width="6.75" style="53" customWidth="1"/>
    <col min="17" max="17" width="8" style="53" customWidth="1"/>
    <col min="18" max="18" width="12.5" style="53" customWidth="1"/>
    <col min="19" max="19" width="6.75" style="53" customWidth="1"/>
    <col min="20" max="20" width="7.375" style="53" customWidth="1"/>
    <col min="21" max="21" width="12.5" style="53" customWidth="1"/>
    <col min="22" max="22" width="6.75" style="53" customWidth="1"/>
    <col min="23" max="23" width="7.375" style="53" customWidth="1"/>
    <col min="24" max="24" width="12.5" style="53" customWidth="1"/>
    <col min="25" max="25" width="6.625" style="53" customWidth="1"/>
    <col min="26" max="26" width="4.625" style="53" customWidth="1"/>
    <col min="27" max="27" width="9.375" style="56" customWidth="1"/>
    <col min="28" max="28" width="7.5" style="53" customWidth="1"/>
    <col min="29" max="29" width="7.25" style="53" customWidth="1"/>
    <col min="30" max="30" width="10.75" style="53" customWidth="1"/>
    <col min="31" max="31" width="7.5" style="53" customWidth="1"/>
    <col min="32" max="32" width="7.25" style="53" customWidth="1"/>
    <col min="33" max="33" width="10.75" style="53" customWidth="1"/>
    <col min="34" max="34" width="7.5" style="53" customWidth="1"/>
    <col min="35" max="35" width="7.25" style="53" customWidth="1"/>
    <col min="36" max="36" width="10.75" style="53" customWidth="1"/>
    <col min="37" max="37" width="6.625" style="53" customWidth="1"/>
    <col min="38" max="38" width="4.625" style="53" customWidth="1"/>
    <col min="39" max="39" width="9.375" style="56" customWidth="1"/>
    <col min="40" max="40" width="8.5" style="53" customWidth="1"/>
    <col min="41" max="41" width="6.75" style="53" customWidth="1"/>
    <col min="42" max="42" width="10.75" style="53" customWidth="1"/>
    <col min="43" max="43" width="8.5" style="53" customWidth="1"/>
    <col min="44" max="44" width="6.75" style="53" customWidth="1"/>
    <col min="45" max="45" width="10.75" style="53" customWidth="1"/>
    <col min="46" max="46" width="8.5" style="53" customWidth="1"/>
    <col min="47" max="47" width="6.75" style="53" customWidth="1"/>
    <col min="48" max="48" width="10.75" style="53" customWidth="1"/>
    <col min="49" max="16384" width="9" style="53"/>
  </cols>
  <sheetData>
    <row r="1" spans="1:48" ht="24" customHeight="1">
      <c r="A1" s="112" t="s">
        <v>121</v>
      </c>
      <c r="B1" s="113"/>
      <c r="C1" s="113"/>
      <c r="D1" s="113"/>
      <c r="E1" s="113"/>
      <c r="F1" s="113"/>
      <c r="G1" s="113"/>
      <c r="H1" s="113"/>
      <c r="I1" s="113"/>
      <c r="J1" s="113"/>
      <c r="K1" s="113"/>
      <c r="L1" s="113"/>
      <c r="M1" s="112" t="s">
        <v>119</v>
      </c>
      <c r="N1" s="113"/>
      <c r="O1" s="113"/>
      <c r="P1" s="113"/>
      <c r="Q1" s="113"/>
      <c r="R1" s="113"/>
      <c r="S1" s="113"/>
      <c r="T1" s="113"/>
      <c r="U1" s="113"/>
      <c r="V1" s="113"/>
      <c r="W1" s="113"/>
      <c r="X1" s="113"/>
      <c r="Y1" s="112" t="s">
        <v>123</v>
      </c>
      <c r="Z1" s="113"/>
      <c r="AA1" s="113"/>
      <c r="AB1" s="113"/>
      <c r="AC1" s="113"/>
      <c r="AD1" s="113"/>
      <c r="AE1" s="113"/>
      <c r="AF1" s="113"/>
      <c r="AG1" s="113"/>
      <c r="AH1" s="113"/>
      <c r="AI1" s="113"/>
      <c r="AJ1" s="113"/>
      <c r="AK1" s="112" t="s">
        <v>122</v>
      </c>
      <c r="AL1" s="113"/>
      <c r="AM1" s="113"/>
      <c r="AN1" s="113"/>
      <c r="AO1" s="113"/>
      <c r="AP1" s="113"/>
      <c r="AQ1" s="113"/>
      <c r="AR1" s="113"/>
      <c r="AS1" s="113"/>
      <c r="AT1" s="113"/>
      <c r="AU1" s="113"/>
      <c r="AV1" s="113"/>
    </row>
    <row r="2" spans="1:48" ht="18" customHeight="1" thickBot="1">
      <c r="AM2" s="57"/>
      <c r="AN2" s="58"/>
      <c r="AO2" s="58"/>
    </row>
    <row r="3" spans="1:48" s="93" customFormat="1" ht="27" customHeight="1">
      <c r="A3" s="135" t="s">
        <v>62</v>
      </c>
      <c r="B3" s="141" t="s">
        <v>173</v>
      </c>
      <c r="C3" s="142"/>
      <c r="D3" s="137" t="s">
        <v>199</v>
      </c>
      <c r="E3" s="137"/>
      <c r="F3" s="138"/>
      <c r="G3" s="138"/>
      <c r="H3" s="138"/>
      <c r="I3" s="138"/>
      <c r="J3" s="138"/>
      <c r="K3" s="139"/>
      <c r="L3" s="140"/>
      <c r="M3" s="135" t="s">
        <v>62</v>
      </c>
      <c r="N3" s="141" t="s">
        <v>173</v>
      </c>
      <c r="O3" s="142"/>
      <c r="P3" s="137" t="str">
        <f>D3</f>
        <v>111年</v>
      </c>
      <c r="Q3" s="137"/>
      <c r="R3" s="138"/>
      <c r="S3" s="138"/>
      <c r="T3" s="138"/>
      <c r="U3" s="138"/>
      <c r="V3" s="138"/>
      <c r="W3" s="139"/>
      <c r="X3" s="140"/>
      <c r="Y3" s="135" t="s">
        <v>62</v>
      </c>
      <c r="Z3" s="141" t="s">
        <v>173</v>
      </c>
      <c r="AA3" s="142"/>
      <c r="AB3" s="137" t="str">
        <f>D3</f>
        <v>111年</v>
      </c>
      <c r="AC3" s="137"/>
      <c r="AD3" s="138"/>
      <c r="AE3" s="138"/>
      <c r="AF3" s="138"/>
      <c r="AG3" s="138"/>
      <c r="AH3" s="138"/>
      <c r="AI3" s="139"/>
      <c r="AJ3" s="140"/>
      <c r="AK3" s="135" t="s">
        <v>62</v>
      </c>
      <c r="AL3" s="141" t="s">
        <v>173</v>
      </c>
      <c r="AM3" s="142"/>
      <c r="AN3" s="137" t="str">
        <f>D3</f>
        <v>111年</v>
      </c>
      <c r="AO3" s="137"/>
      <c r="AP3" s="138"/>
      <c r="AQ3" s="138"/>
      <c r="AR3" s="138"/>
      <c r="AS3" s="138"/>
      <c r="AT3" s="138"/>
      <c r="AU3" s="139"/>
      <c r="AV3" s="140"/>
    </row>
    <row r="4" spans="1:48" s="93" customFormat="1" ht="27" customHeight="1">
      <c r="A4" s="136"/>
      <c r="B4" s="143"/>
      <c r="C4" s="144"/>
      <c r="D4" s="134" t="s">
        <v>12</v>
      </c>
      <c r="E4" s="134"/>
      <c r="F4" s="134"/>
      <c r="G4" s="134" t="s">
        <v>13</v>
      </c>
      <c r="H4" s="134"/>
      <c r="I4" s="134"/>
      <c r="J4" s="134" t="s">
        <v>67</v>
      </c>
      <c r="K4" s="147"/>
      <c r="L4" s="148"/>
      <c r="M4" s="136"/>
      <c r="N4" s="143"/>
      <c r="O4" s="144"/>
      <c r="P4" s="134" t="s">
        <v>12</v>
      </c>
      <c r="Q4" s="134"/>
      <c r="R4" s="134"/>
      <c r="S4" s="134" t="s">
        <v>13</v>
      </c>
      <c r="T4" s="134"/>
      <c r="U4" s="134"/>
      <c r="V4" s="134" t="s">
        <v>67</v>
      </c>
      <c r="W4" s="147"/>
      <c r="X4" s="148"/>
      <c r="Y4" s="136"/>
      <c r="Z4" s="143"/>
      <c r="AA4" s="144"/>
      <c r="AB4" s="134" t="s">
        <v>12</v>
      </c>
      <c r="AC4" s="134"/>
      <c r="AD4" s="134"/>
      <c r="AE4" s="134" t="s">
        <v>13</v>
      </c>
      <c r="AF4" s="134"/>
      <c r="AG4" s="134"/>
      <c r="AH4" s="134" t="s">
        <v>67</v>
      </c>
      <c r="AI4" s="147"/>
      <c r="AJ4" s="148"/>
      <c r="AK4" s="136"/>
      <c r="AL4" s="143"/>
      <c r="AM4" s="144"/>
      <c r="AN4" s="134" t="s">
        <v>12</v>
      </c>
      <c r="AO4" s="134"/>
      <c r="AP4" s="134"/>
      <c r="AQ4" s="134" t="s">
        <v>13</v>
      </c>
      <c r="AR4" s="134"/>
      <c r="AS4" s="134"/>
      <c r="AT4" s="134" t="s">
        <v>67</v>
      </c>
      <c r="AU4" s="147"/>
      <c r="AV4" s="148"/>
    </row>
    <row r="5" spans="1:48" ht="49.5">
      <c r="A5" s="136"/>
      <c r="B5" s="145"/>
      <c r="C5" s="146"/>
      <c r="D5" s="38" t="s">
        <v>128</v>
      </c>
      <c r="E5" s="94" t="s">
        <v>15</v>
      </c>
      <c r="F5" s="94" t="s">
        <v>16</v>
      </c>
      <c r="G5" s="38" t="s">
        <v>128</v>
      </c>
      <c r="H5" s="94" t="s">
        <v>15</v>
      </c>
      <c r="I5" s="94" t="s">
        <v>16</v>
      </c>
      <c r="J5" s="38" t="s">
        <v>128</v>
      </c>
      <c r="K5" s="94" t="s">
        <v>15</v>
      </c>
      <c r="L5" s="95" t="s">
        <v>16</v>
      </c>
      <c r="M5" s="136"/>
      <c r="N5" s="145"/>
      <c r="O5" s="146"/>
      <c r="P5" s="38" t="s">
        <v>167</v>
      </c>
      <c r="Q5" s="38" t="s">
        <v>181</v>
      </c>
      <c r="R5" s="94" t="s">
        <v>16</v>
      </c>
      <c r="S5" s="38" t="s">
        <v>167</v>
      </c>
      <c r="T5" s="38" t="s">
        <v>181</v>
      </c>
      <c r="U5" s="94" t="s">
        <v>16</v>
      </c>
      <c r="V5" s="38" t="s">
        <v>167</v>
      </c>
      <c r="W5" s="38" t="s">
        <v>181</v>
      </c>
      <c r="X5" s="95" t="s">
        <v>16</v>
      </c>
      <c r="Y5" s="136"/>
      <c r="Z5" s="145"/>
      <c r="AA5" s="146"/>
      <c r="AB5" s="38" t="s">
        <v>128</v>
      </c>
      <c r="AC5" s="94" t="s">
        <v>15</v>
      </c>
      <c r="AD5" s="94" t="s">
        <v>16</v>
      </c>
      <c r="AE5" s="38" t="s">
        <v>128</v>
      </c>
      <c r="AF5" s="94" t="s">
        <v>15</v>
      </c>
      <c r="AG5" s="94" t="s">
        <v>16</v>
      </c>
      <c r="AH5" s="38" t="s">
        <v>128</v>
      </c>
      <c r="AI5" s="94" t="s">
        <v>15</v>
      </c>
      <c r="AJ5" s="95" t="s">
        <v>16</v>
      </c>
      <c r="AK5" s="136"/>
      <c r="AL5" s="145"/>
      <c r="AM5" s="146"/>
      <c r="AN5" s="38" t="s">
        <v>128</v>
      </c>
      <c r="AO5" s="94" t="s">
        <v>15</v>
      </c>
      <c r="AP5" s="94" t="s">
        <v>16</v>
      </c>
      <c r="AQ5" s="38" t="s">
        <v>128</v>
      </c>
      <c r="AR5" s="94" t="s">
        <v>15</v>
      </c>
      <c r="AS5" s="94" t="s">
        <v>16</v>
      </c>
      <c r="AT5" s="38" t="s">
        <v>128</v>
      </c>
      <c r="AU5" s="94" t="s">
        <v>15</v>
      </c>
      <c r="AV5" s="95" t="s">
        <v>16</v>
      </c>
    </row>
    <row r="6" spans="1:48" ht="24" customHeight="1">
      <c r="A6" s="149" t="s">
        <v>147</v>
      </c>
      <c r="B6" s="153" t="s">
        <v>17</v>
      </c>
      <c r="C6" s="41" t="s">
        <v>76</v>
      </c>
      <c r="D6" s="42">
        <f t="shared" ref="D6:D38" si="0">F6/E6</f>
        <v>1369895.5010511563</v>
      </c>
      <c r="E6" s="42">
        <f>SUM(E7:E28)</f>
        <v>62788</v>
      </c>
      <c r="F6" s="42">
        <f>SUM(F7:F28)</f>
        <v>86012998720</v>
      </c>
      <c r="G6" s="42">
        <f>I6/H6</f>
        <v>1389068.9226634086</v>
      </c>
      <c r="H6" s="42">
        <f t="shared" ref="H6:L6" si="1">SUM(H7:H28)</f>
        <v>32740</v>
      </c>
      <c r="I6" s="42">
        <f t="shared" si="1"/>
        <v>45478116528</v>
      </c>
      <c r="J6" s="42">
        <f t="shared" ref="J6:J38" si="2">L6/K6</f>
        <v>1349004.3328008519</v>
      </c>
      <c r="K6" s="42">
        <f t="shared" ref="K6" si="3">SUM(K7:K28)</f>
        <v>30048</v>
      </c>
      <c r="L6" s="43">
        <f t="shared" si="1"/>
        <v>40534882192</v>
      </c>
      <c r="M6" s="149" t="s">
        <v>146</v>
      </c>
      <c r="N6" s="153" t="s">
        <v>17</v>
      </c>
      <c r="O6" s="41" t="s">
        <v>76</v>
      </c>
      <c r="P6" s="42">
        <f>R6/Q6/12</f>
        <v>18175.35431594462</v>
      </c>
      <c r="Q6" s="42">
        <v>1550185.67</v>
      </c>
      <c r="R6" s="42">
        <f>U6+X6</f>
        <v>338102085693</v>
      </c>
      <c r="S6" s="42">
        <f>U6/T6/12</f>
        <v>19456.013621989441</v>
      </c>
      <c r="T6" s="42">
        <v>713902.33</v>
      </c>
      <c r="U6" s="42">
        <f>SUM(U7:U28)+(0)</f>
        <v>166676321487</v>
      </c>
      <c r="V6" s="79">
        <f>X6/W6/12</f>
        <v>17082.105834275091</v>
      </c>
      <c r="W6" s="42">
        <v>836283.33</v>
      </c>
      <c r="X6" s="43">
        <f>SUM(X7:X28)+(0)</f>
        <v>171425764206</v>
      </c>
      <c r="Y6" s="149" t="s">
        <v>185</v>
      </c>
      <c r="Z6" s="153" t="s">
        <v>17</v>
      </c>
      <c r="AA6" s="41" t="s">
        <v>76</v>
      </c>
      <c r="AB6" s="42">
        <f>AD6/AC6</f>
        <v>86192.752598521489</v>
      </c>
      <c r="AC6" s="42">
        <f>AF6+AI6</f>
        <v>17991</v>
      </c>
      <c r="AD6" s="42">
        <f>AG6+AJ6</f>
        <v>1550693812</v>
      </c>
      <c r="AE6" s="42">
        <f>AG6/AF6</f>
        <v>93951.343969496287</v>
      </c>
      <c r="AF6" s="42">
        <f>SUM(AF7:AF28)+(0)</f>
        <v>9966</v>
      </c>
      <c r="AG6" s="42">
        <f>SUM(AG7:AG28)+(0)</f>
        <v>936319094</v>
      </c>
      <c r="AH6" s="42">
        <f>AJ6/AI6</f>
        <v>76557.597258566981</v>
      </c>
      <c r="AI6" s="42">
        <f>SUM(AI7:AI28)+(0)</f>
        <v>8025</v>
      </c>
      <c r="AJ6" s="43">
        <f>SUM(AJ7:AJ28)+(0)</f>
        <v>614374718</v>
      </c>
      <c r="AK6" s="149" t="s">
        <v>151</v>
      </c>
      <c r="AL6" s="153" t="s">
        <v>17</v>
      </c>
      <c r="AM6" s="41" t="s">
        <v>76</v>
      </c>
      <c r="AN6" s="42">
        <f>AP6/AO6</f>
        <v>747903.28077165026</v>
      </c>
      <c r="AO6" s="42">
        <f>SUM(AO7:AO28)</f>
        <v>4769</v>
      </c>
      <c r="AP6" s="42">
        <f>SUM(AP7:AP28)</f>
        <v>3566750746</v>
      </c>
      <c r="AQ6" s="42">
        <f>AS6/AR6</f>
        <v>779605.87134308508</v>
      </c>
      <c r="AR6" s="42">
        <f t="shared" ref="AR6:AS6" si="4">SUM(AR7:AR28)</f>
        <v>3008</v>
      </c>
      <c r="AS6" s="42">
        <f t="shared" si="4"/>
        <v>2345054461</v>
      </c>
      <c r="AT6" s="42">
        <f>AV6/AU6</f>
        <v>693751.43952299829</v>
      </c>
      <c r="AU6" s="42">
        <f t="shared" ref="AU6:AV6" si="5">SUM(AU7:AU28)</f>
        <v>1761</v>
      </c>
      <c r="AV6" s="43">
        <f t="shared" si="5"/>
        <v>1221696285</v>
      </c>
    </row>
    <row r="7" spans="1:48" ht="24" customHeight="1">
      <c r="A7" s="150"/>
      <c r="B7" s="154"/>
      <c r="C7" s="41" t="s">
        <v>95</v>
      </c>
      <c r="D7" s="42">
        <f t="shared" si="0"/>
        <v>1429346.5841764468</v>
      </c>
      <c r="E7" s="42">
        <f>H7+K7</f>
        <v>9884</v>
      </c>
      <c r="F7" s="42">
        <f>I7+L7</f>
        <v>14127661638</v>
      </c>
      <c r="G7" s="42">
        <f t="shared" ref="G7:G38" si="6">I7/H7</f>
        <v>1461745.876744186</v>
      </c>
      <c r="H7" s="42">
        <v>5160</v>
      </c>
      <c r="I7" s="42">
        <v>7542608724</v>
      </c>
      <c r="J7" s="42">
        <f t="shared" si="2"/>
        <v>1393957.0097375107</v>
      </c>
      <c r="K7" s="42">
        <v>4724</v>
      </c>
      <c r="L7" s="43">
        <v>6585052914</v>
      </c>
      <c r="M7" s="150"/>
      <c r="N7" s="154"/>
      <c r="O7" s="41" t="s">
        <v>95</v>
      </c>
      <c r="P7" s="42">
        <f t="shared" ref="P7:P28" si="7">R7/Q7/12</f>
        <v>18177.155009259961</v>
      </c>
      <c r="Q7" s="42">
        <v>230258.33</v>
      </c>
      <c r="R7" s="42">
        <f t="shared" ref="R7:R28" si="8">U7+X7</f>
        <v>50225296279</v>
      </c>
      <c r="S7" s="42">
        <f t="shared" ref="S7:S28" si="9">U7/T7/12</f>
        <v>19162.197200934268</v>
      </c>
      <c r="T7" s="42">
        <v>105991.08</v>
      </c>
      <c r="U7" s="42">
        <v>24372263718</v>
      </c>
      <c r="V7" s="79">
        <f t="shared" ref="V7:V28" si="10">X7/W7/12</f>
        <v>17336.984443474314</v>
      </c>
      <c r="W7" s="42">
        <v>124267.25</v>
      </c>
      <c r="X7" s="43">
        <v>25853032561</v>
      </c>
      <c r="Y7" s="150"/>
      <c r="Z7" s="154"/>
      <c r="AA7" s="41" t="s">
        <v>95</v>
      </c>
      <c r="AB7" s="42">
        <f t="shared" ref="AB7:AB38" si="11">AD7/AC7</f>
        <v>93780.859126984127</v>
      </c>
      <c r="AC7" s="42">
        <f>AF7+AI7</f>
        <v>2520</v>
      </c>
      <c r="AD7" s="42">
        <f>AG7+AJ7</f>
        <v>236327765</v>
      </c>
      <c r="AE7" s="42">
        <f t="shared" ref="AE7:AE38" si="12">AG7/AF7</f>
        <v>102556.77246376811</v>
      </c>
      <c r="AF7" s="42">
        <v>1380</v>
      </c>
      <c r="AG7" s="42">
        <v>141528346</v>
      </c>
      <c r="AH7" s="42">
        <f t="shared" ref="AH7:AH38" si="13">AJ7/AI7</f>
        <v>83157.385087719304</v>
      </c>
      <c r="AI7" s="42">
        <v>1140</v>
      </c>
      <c r="AJ7" s="43">
        <v>94799419</v>
      </c>
      <c r="AK7" s="150"/>
      <c r="AL7" s="154"/>
      <c r="AM7" s="41" t="s">
        <v>95</v>
      </c>
      <c r="AN7" s="42">
        <f t="shared" ref="AN7:AN38" si="14">AP7/AO7</f>
        <v>740099.85457271361</v>
      </c>
      <c r="AO7" s="42">
        <f>AR7+AU7</f>
        <v>667</v>
      </c>
      <c r="AP7" s="42">
        <f>AS7+AV7</f>
        <v>493646603</v>
      </c>
      <c r="AQ7" s="42">
        <f t="shared" ref="AQ7:AQ38" si="15">AS7/AR7</f>
        <v>761903.5995145631</v>
      </c>
      <c r="AR7" s="42">
        <v>412</v>
      </c>
      <c r="AS7" s="42">
        <v>313904283</v>
      </c>
      <c r="AT7" s="42">
        <f t="shared" ref="AT7:AT38" si="16">AV7/AU7</f>
        <v>704871.84313725494</v>
      </c>
      <c r="AU7" s="42">
        <v>255</v>
      </c>
      <c r="AV7" s="43">
        <v>179742320</v>
      </c>
    </row>
    <row r="8" spans="1:48" ht="24" customHeight="1">
      <c r="A8" s="150"/>
      <c r="B8" s="154"/>
      <c r="C8" s="41" t="s">
        <v>96</v>
      </c>
      <c r="D8" s="42">
        <f t="shared" si="0"/>
        <v>1404814.7243622234</v>
      </c>
      <c r="E8" s="42">
        <f t="shared" ref="E8:F28" si="17">H8+K8</f>
        <v>11838</v>
      </c>
      <c r="F8" s="42">
        <f t="shared" si="17"/>
        <v>16630196707</v>
      </c>
      <c r="G8" s="42">
        <f t="shared" si="6"/>
        <v>1416574.0277327572</v>
      </c>
      <c r="H8" s="42">
        <v>5553</v>
      </c>
      <c r="I8" s="42">
        <v>7866235576</v>
      </c>
      <c r="J8" s="42">
        <f t="shared" si="2"/>
        <v>1394425.0009546538</v>
      </c>
      <c r="K8" s="42">
        <v>6285</v>
      </c>
      <c r="L8" s="43">
        <v>8763961131</v>
      </c>
      <c r="M8" s="150"/>
      <c r="N8" s="154"/>
      <c r="O8" s="41" t="s">
        <v>96</v>
      </c>
      <c r="P8" s="42">
        <f t="shared" si="7"/>
        <v>18719.85131822632</v>
      </c>
      <c r="Q8" s="42">
        <v>314592.92</v>
      </c>
      <c r="R8" s="42">
        <f t="shared" si="8"/>
        <v>70669592258</v>
      </c>
      <c r="S8" s="42">
        <f t="shared" si="9"/>
        <v>19774.111660312676</v>
      </c>
      <c r="T8" s="42">
        <v>146627</v>
      </c>
      <c r="U8" s="42">
        <v>34793024045</v>
      </c>
      <c r="V8" s="79">
        <f t="shared" si="10"/>
        <v>17799.527533621105</v>
      </c>
      <c r="W8" s="42">
        <v>167965.92</v>
      </c>
      <c r="X8" s="80">
        <v>35876568213</v>
      </c>
      <c r="Y8" s="150"/>
      <c r="Z8" s="154"/>
      <c r="AA8" s="41" t="s">
        <v>96</v>
      </c>
      <c r="AB8" s="42">
        <f t="shared" si="11"/>
        <v>81822.168842176645</v>
      </c>
      <c r="AC8" s="42">
        <f t="shared" ref="AC8:AD28" si="18">AF8+AI8</f>
        <v>5899</v>
      </c>
      <c r="AD8" s="42">
        <f t="shared" si="18"/>
        <v>482668974</v>
      </c>
      <c r="AE8" s="42">
        <f t="shared" si="12"/>
        <v>84686.760765550236</v>
      </c>
      <c r="AF8" s="42">
        <v>3344</v>
      </c>
      <c r="AG8" s="42">
        <v>283192528</v>
      </c>
      <c r="AH8" s="42">
        <f t="shared" si="13"/>
        <v>78072.972994129159</v>
      </c>
      <c r="AI8" s="42">
        <v>2555</v>
      </c>
      <c r="AJ8" s="43">
        <v>199476446</v>
      </c>
      <c r="AK8" s="150"/>
      <c r="AL8" s="154"/>
      <c r="AM8" s="41" t="s">
        <v>96</v>
      </c>
      <c r="AN8" s="42">
        <f t="shared" si="14"/>
        <v>786424.57734806626</v>
      </c>
      <c r="AO8" s="42">
        <f t="shared" ref="AO8:AP28" si="19">AR8+AU8</f>
        <v>724</v>
      </c>
      <c r="AP8" s="42">
        <f t="shared" si="19"/>
        <v>569371394</v>
      </c>
      <c r="AQ8" s="42">
        <f t="shared" si="15"/>
        <v>809726.88650963595</v>
      </c>
      <c r="AR8" s="42">
        <v>467</v>
      </c>
      <c r="AS8" s="42">
        <v>378142456</v>
      </c>
      <c r="AT8" s="42">
        <f t="shared" si="16"/>
        <v>744081.47081712063</v>
      </c>
      <c r="AU8" s="42">
        <v>257</v>
      </c>
      <c r="AV8" s="43">
        <v>191228938</v>
      </c>
    </row>
    <row r="9" spans="1:48" ht="24" customHeight="1">
      <c r="A9" s="150"/>
      <c r="B9" s="154"/>
      <c r="C9" s="41" t="s">
        <v>101</v>
      </c>
      <c r="D9" s="42">
        <f t="shared" si="0"/>
        <v>1403581.996752661</v>
      </c>
      <c r="E9" s="42">
        <f t="shared" si="17"/>
        <v>5543</v>
      </c>
      <c r="F9" s="42">
        <f t="shared" si="17"/>
        <v>7780055008</v>
      </c>
      <c r="G9" s="42">
        <f t="shared" si="6"/>
        <v>1444505.4099740933</v>
      </c>
      <c r="H9" s="42">
        <v>3088</v>
      </c>
      <c r="I9" s="42">
        <v>4460632706</v>
      </c>
      <c r="J9" s="42">
        <f t="shared" si="2"/>
        <v>1352106.8439918533</v>
      </c>
      <c r="K9" s="42">
        <v>2455</v>
      </c>
      <c r="L9" s="43">
        <v>3319422302</v>
      </c>
      <c r="M9" s="150"/>
      <c r="N9" s="154"/>
      <c r="O9" s="41" t="s">
        <v>101</v>
      </c>
      <c r="P9" s="42">
        <f t="shared" si="7"/>
        <v>18937.379126857271</v>
      </c>
      <c r="Q9" s="42">
        <v>111364</v>
      </c>
      <c r="R9" s="42">
        <f t="shared" si="8"/>
        <v>25307307469</v>
      </c>
      <c r="S9" s="42">
        <f t="shared" si="9"/>
        <v>20510.154050515612</v>
      </c>
      <c r="T9" s="42">
        <v>56985.42</v>
      </c>
      <c r="U9" s="42">
        <v>14025356914</v>
      </c>
      <c r="V9" s="79">
        <f t="shared" si="10"/>
        <v>17289.207372645626</v>
      </c>
      <c r="W9" s="42">
        <v>54378.58</v>
      </c>
      <c r="X9" s="43">
        <v>11281950555</v>
      </c>
      <c r="Y9" s="150"/>
      <c r="Z9" s="154"/>
      <c r="AA9" s="41" t="s">
        <v>101</v>
      </c>
      <c r="AB9" s="42">
        <f t="shared" si="11"/>
        <v>92730.941538461542</v>
      </c>
      <c r="AC9" s="42">
        <f t="shared" si="18"/>
        <v>1300</v>
      </c>
      <c r="AD9" s="42">
        <f t="shared" si="18"/>
        <v>120550224</v>
      </c>
      <c r="AE9" s="42">
        <f t="shared" si="12"/>
        <v>104840.67069892473</v>
      </c>
      <c r="AF9" s="42">
        <v>744</v>
      </c>
      <c r="AG9" s="42">
        <v>78001459</v>
      </c>
      <c r="AH9" s="42">
        <f t="shared" si="13"/>
        <v>76526.55575539569</v>
      </c>
      <c r="AI9" s="42">
        <v>556</v>
      </c>
      <c r="AJ9" s="43">
        <v>42548765</v>
      </c>
      <c r="AK9" s="150"/>
      <c r="AL9" s="154"/>
      <c r="AM9" s="41" t="s">
        <v>101</v>
      </c>
      <c r="AN9" s="42">
        <f t="shared" si="14"/>
        <v>804984.63207547169</v>
      </c>
      <c r="AO9" s="42">
        <f t="shared" si="19"/>
        <v>318</v>
      </c>
      <c r="AP9" s="42">
        <f t="shared" si="19"/>
        <v>255985113</v>
      </c>
      <c r="AQ9" s="42">
        <f t="shared" si="15"/>
        <v>851382.10909090913</v>
      </c>
      <c r="AR9" s="42">
        <v>220</v>
      </c>
      <c r="AS9" s="42">
        <v>187304064</v>
      </c>
      <c r="AT9" s="42">
        <f t="shared" si="16"/>
        <v>700827.03061224485</v>
      </c>
      <c r="AU9" s="42">
        <v>98</v>
      </c>
      <c r="AV9" s="43">
        <v>68681049</v>
      </c>
    </row>
    <row r="10" spans="1:48" ht="24" customHeight="1">
      <c r="A10" s="150"/>
      <c r="B10" s="154"/>
      <c r="C10" s="41" t="s">
        <v>97</v>
      </c>
      <c r="D10" s="42">
        <f t="shared" si="0"/>
        <v>1303534.9644280444</v>
      </c>
      <c r="E10" s="42">
        <f t="shared" si="17"/>
        <v>6775</v>
      </c>
      <c r="F10" s="42">
        <f t="shared" si="17"/>
        <v>8831449384</v>
      </c>
      <c r="G10" s="42">
        <f t="shared" si="6"/>
        <v>1334750.5188624493</v>
      </c>
      <c r="H10" s="42">
        <v>3446</v>
      </c>
      <c r="I10" s="42">
        <v>4599550288</v>
      </c>
      <c r="J10" s="42">
        <f t="shared" si="2"/>
        <v>1271222.3178131571</v>
      </c>
      <c r="K10" s="42">
        <v>3329</v>
      </c>
      <c r="L10" s="43">
        <v>4231899096</v>
      </c>
      <c r="M10" s="150"/>
      <c r="N10" s="154"/>
      <c r="O10" s="41" t="s">
        <v>97</v>
      </c>
      <c r="P10" s="42">
        <f t="shared" si="7"/>
        <v>17269.316408080351</v>
      </c>
      <c r="Q10" s="42">
        <v>152769.75</v>
      </c>
      <c r="R10" s="42">
        <f t="shared" si="8"/>
        <v>31658749804</v>
      </c>
      <c r="S10" s="42">
        <f t="shared" si="9"/>
        <v>18458.073264254988</v>
      </c>
      <c r="T10" s="42">
        <v>74613.83</v>
      </c>
      <c r="U10" s="42">
        <v>16526730488</v>
      </c>
      <c r="V10" s="79">
        <f t="shared" si="10"/>
        <v>16134.434981594059</v>
      </c>
      <c r="W10" s="42">
        <v>78155.92</v>
      </c>
      <c r="X10" s="50">
        <v>15132019316</v>
      </c>
      <c r="Y10" s="150"/>
      <c r="Z10" s="154"/>
      <c r="AA10" s="41" t="s">
        <v>97</v>
      </c>
      <c r="AB10" s="42">
        <f t="shared" si="11"/>
        <v>84703.50873161765</v>
      </c>
      <c r="AC10" s="42">
        <f t="shared" si="18"/>
        <v>2176</v>
      </c>
      <c r="AD10" s="42">
        <f t="shared" si="18"/>
        <v>184314835</v>
      </c>
      <c r="AE10" s="42">
        <f t="shared" si="12"/>
        <v>94821.706722689079</v>
      </c>
      <c r="AF10" s="42">
        <v>1190</v>
      </c>
      <c r="AG10" s="42">
        <v>112837831</v>
      </c>
      <c r="AH10" s="42">
        <f t="shared" si="13"/>
        <v>72491.890466531433</v>
      </c>
      <c r="AI10" s="42">
        <v>986</v>
      </c>
      <c r="AJ10" s="43">
        <v>71477004</v>
      </c>
      <c r="AK10" s="150"/>
      <c r="AL10" s="154"/>
      <c r="AM10" s="41" t="s">
        <v>97</v>
      </c>
      <c r="AN10" s="42">
        <f t="shared" si="14"/>
        <v>736780.0488721804</v>
      </c>
      <c r="AO10" s="42">
        <f t="shared" si="19"/>
        <v>532</v>
      </c>
      <c r="AP10" s="42">
        <f t="shared" si="19"/>
        <v>391966986</v>
      </c>
      <c r="AQ10" s="42">
        <f t="shared" si="15"/>
        <v>734651.69794721412</v>
      </c>
      <c r="AR10" s="42">
        <v>341</v>
      </c>
      <c r="AS10" s="42">
        <v>250516229</v>
      </c>
      <c r="AT10" s="42">
        <f t="shared" si="16"/>
        <v>740579.87958115188</v>
      </c>
      <c r="AU10" s="42">
        <v>191</v>
      </c>
      <c r="AV10" s="43">
        <v>141450757</v>
      </c>
    </row>
    <row r="11" spans="1:48" ht="24" customHeight="1">
      <c r="A11" s="150"/>
      <c r="B11" s="154"/>
      <c r="C11" s="41" t="s">
        <v>191</v>
      </c>
      <c r="D11" s="42">
        <f t="shared" si="0"/>
        <v>1250349.6062528319</v>
      </c>
      <c r="E11" s="42">
        <f t="shared" si="17"/>
        <v>4414</v>
      </c>
      <c r="F11" s="42">
        <f t="shared" si="17"/>
        <v>5519043162</v>
      </c>
      <c r="G11" s="42">
        <f t="shared" si="6"/>
        <v>1279461.6853556486</v>
      </c>
      <c r="H11" s="42">
        <v>2390</v>
      </c>
      <c r="I11" s="42">
        <v>3057913428</v>
      </c>
      <c r="J11" s="42">
        <f t="shared" si="2"/>
        <v>1215973.188735178</v>
      </c>
      <c r="K11" s="42">
        <v>2024</v>
      </c>
      <c r="L11" s="43">
        <v>2461129734</v>
      </c>
      <c r="M11" s="150"/>
      <c r="N11" s="154"/>
      <c r="O11" s="41" t="s">
        <v>191</v>
      </c>
      <c r="P11" s="42">
        <f t="shared" si="7"/>
        <v>16520.674136368139</v>
      </c>
      <c r="Q11" s="42">
        <v>117152.83</v>
      </c>
      <c r="R11" s="42">
        <f t="shared" si="8"/>
        <v>23225324743</v>
      </c>
      <c r="S11" s="42">
        <f t="shared" si="9"/>
        <v>17976.325688886445</v>
      </c>
      <c r="T11" s="42">
        <v>54538.5</v>
      </c>
      <c r="U11" s="42">
        <v>11764822063</v>
      </c>
      <c r="V11" s="79">
        <f t="shared" si="10"/>
        <v>15252.768655354133</v>
      </c>
      <c r="W11" s="42">
        <v>62614.33</v>
      </c>
      <c r="X11" s="43">
        <v>11460502680</v>
      </c>
      <c r="Y11" s="150"/>
      <c r="Z11" s="154"/>
      <c r="AA11" s="41" t="s">
        <v>191</v>
      </c>
      <c r="AB11" s="42">
        <f t="shared" si="11"/>
        <v>80586.840349483711</v>
      </c>
      <c r="AC11" s="42">
        <f t="shared" si="18"/>
        <v>1259</v>
      </c>
      <c r="AD11" s="42">
        <f t="shared" si="18"/>
        <v>101458832</v>
      </c>
      <c r="AE11" s="42">
        <f t="shared" si="12"/>
        <v>92281.97572078908</v>
      </c>
      <c r="AF11" s="42">
        <v>659</v>
      </c>
      <c r="AG11" s="42">
        <v>60813822</v>
      </c>
      <c r="AH11" s="42">
        <f t="shared" si="13"/>
        <v>67741.683333333334</v>
      </c>
      <c r="AI11" s="42">
        <v>600</v>
      </c>
      <c r="AJ11" s="43">
        <v>40645010</v>
      </c>
      <c r="AK11" s="150"/>
      <c r="AL11" s="154"/>
      <c r="AM11" s="41" t="s">
        <v>191</v>
      </c>
      <c r="AN11" s="42">
        <f t="shared" si="14"/>
        <v>656925.29655172408</v>
      </c>
      <c r="AO11" s="42">
        <f t="shared" si="19"/>
        <v>435</v>
      </c>
      <c r="AP11" s="42">
        <f t="shared" si="19"/>
        <v>285762504</v>
      </c>
      <c r="AQ11" s="42">
        <f t="shared" si="15"/>
        <v>691103.72661870508</v>
      </c>
      <c r="AR11" s="42">
        <v>278</v>
      </c>
      <c r="AS11" s="42">
        <v>192126836</v>
      </c>
      <c r="AT11" s="42">
        <f t="shared" si="16"/>
        <v>596405.52866242034</v>
      </c>
      <c r="AU11" s="42">
        <v>157</v>
      </c>
      <c r="AV11" s="43">
        <v>93635668</v>
      </c>
    </row>
    <row r="12" spans="1:48" ht="24" customHeight="1">
      <c r="A12" s="150"/>
      <c r="B12" s="154"/>
      <c r="C12" s="41" t="s">
        <v>99</v>
      </c>
      <c r="D12" s="42">
        <f t="shared" si="0"/>
        <v>1314451.9110580115</v>
      </c>
      <c r="E12" s="42">
        <f t="shared" si="17"/>
        <v>7533</v>
      </c>
      <c r="F12" s="42">
        <f t="shared" si="17"/>
        <v>9901766246</v>
      </c>
      <c r="G12" s="42">
        <f t="shared" si="6"/>
        <v>1322791.0681649791</v>
      </c>
      <c r="H12" s="42">
        <v>4049</v>
      </c>
      <c r="I12" s="42">
        <v>5355981035</v>
      </c>
      <c r="J12" s="42">
        <f t="shared" si="2"/>
        <v>1304760.3935132031</v>
      </c>
      <c r="K12" s="42">
        <v>3484</v>
      </c>
      <c r="L12" s="43">
        <v>4545785211</v>
      </c>
      <c r="M12" s="150"/>
      <c r="N12" s="154"/>
      <c r="O12" s="41" t="s">
        <v>99</v>
      </c>
      <c r="P12" s="42">
        <f t="shared" si="7"/>
        <v>18604.02971355525</v>
      </c>
      <c r="Q12" s="42">
        <v>203268.17</v>
      </c>
      <c r="R12" s="42">
        <f t="shared" si="8"/>
        <v>45379284894</v>
      </c>
      <c r="S12" s="42">
        <f t="shared" si="9"/>
        <v>20752.356026807156</v>
      </c>
      <c r="T12" s="42">
        <v>92992.08</v>
      </c>
      <c r="U12" s="42">
        <v>23157657022</v>
      </c>
      <c r="V12" s="79">
        <f t="shared" si="10"/>
        <v>16792.42064704029</v>
      </c>
      <c r="W12" s="42">
        <v>110276.08</v>
      </c>
      <c r="X12" s="43">
        <v>22221627872</v>
      </c>
      <c r="Y12" s="150"/>
      <c r="Z12" s="154"/>
      <c r="AA12" s="41" t="s">
        <v>99</v>
      </c>
      <c r="AB12" s="42">
        <f t="shared" si="11"/>
        <v>79838.837160751573</v>
      </c>
      <c r="AC12" s="42">
        <f t="shared" si="18"/>
        <v>1916</v>
      </c>
      <c r="AD12" s="42">
        <f t="shared" si="18"/>
        <v>152971212</v>
      </c>
      <c r="AE12" s="42">
        <f t="shared" si="12"/>
        <v>89503.014272121785</v>
      </c>
      <c r="AF12" s="42">
        <v>1051</v>
      </c>
      <c r="AG12" s="42">
        <v>94067668</v>
      </c>
      <c r="AH12" s="42">
        <f t="shared" si="13"/>
        <v>68096.582658959538</v>
      </c>
      <c r="AI12" s="42">
        <v>865</v>
      </c>
      <c r="AJ12" s="43">
        <v>58903544</v>
      </c>
      <c r="AK12" s="150"/>
      <c r="AL12" s="154"/>
      <c r="AM12" s="41" t="s">
        <v>99</v>
      </c>
      <c r="AN12" s="42">
        <f t="shared" si="14"/>
        <v>744814.61897810223</v>
      </c>
      <c r="AO12" s="42">
        <f t="shared" si="19"/>
        <v>685</v>
      </c>
      <c r="AP12" s="42">
        <f t="shared" si="19"/>
        <v>510198014</v>
      </c>
      <c r="AQ12" s="42">
        <f t="shared" si="15"/>
        <v>806464.15384615387</v>
      </c>
      <c r="AR12" s="42">
        <v>403</v>
      </c>
      <c r="AS12" s="42">
        <v>325005054</v>
      </c>
      <c r="AT12" s="42">
        <f t="shared" si="16"/>
        <v>656712.62411347521</v>
      </c>
      <c r="AU12" s="42">
        <v>282</v>
      </c>
      <c r="AV12" s="43">
        <v>185192960</v>
      </c>
    </row>
    <row r="13" spans="1:48" ht="24" customHeight="1">
      <c r="A13" s="151"/>
      <c r="B13" s="155"/>
      <c r="C13" s="44" t="s">
        <v>77</v>
      </c>
      <c r="D13" s="45">
        <f t="shared" si="0"/>
        <v>1528345.2558459423</v>
      </c>
      <c r="E13" s="45">
        <f t="shared" si="17"/>
        <v>1454</v>
      </c>
      <c r="F13" s="45">
        <f t="shared" si="17"/>
        <v>2222214002</v>
      </c>
      <c r="G13" s="45">
        <f t="shared" si="6"/>
        <v>1511336.9961139897</v>
      </c>
      <c r="H13" s="45">
        <v>772</v>
      </c>
      <c r="I13" s="45">
        <v>1166752161</v>
      </c>
      <c r="J13" s="45">
        <f t="shared" si="2"/>
        <v>1547598.0073313783</v>
      </c>
      <c r="K13" s="45">
        <v>682</v>
      </c>
      <c r="L13" s="46">
        <v>1055461841</v>
      </c>
      <c r="M13" s="151"/>
      <c r="N13" s="155"/>
      <c r="O13" s="44" t="s">
        <v>77</v>
      </c>
      <c r="P13" s="45">
        <f t="shared" si="7"/>
        <v>19743.513025278513</v>
      </c>
      <c r="Q13" s="45">
        <v>33996.33</v>
      </c>
      <c r="R13" s="45">
        <f t="shared" si="8"/>
        <v>8054483810</v>
      </c>
      <c r="S13" s="45">
        <f t="shared" si="9"/>
        <v>20325.827296375752</v>
      </c>
      <c r="T13" s="45">
        <v>13186.83</v>
      </c>
      <c r="U13" s="45">
        <v>3216398750</v>
      </c>
      <c r="V13" s="81">
        <f t="shared" si="10"/>
        <v>19374.504673346306</v>
      </c>
      <c r="W13" s="45">
        <v>20809.5</v>
      </c>
      <c r="X13" s="46">
        <v>4838085060</v>
      </c>
      <c r="Y13" s="151"/>
      <c r="Z13" s="155"/>
      <c r="AA13" s="44" t="s">
        <v>77</v>
      </c>
      <c r="AB13" s="45">
        <f t="shared" si="11"/>
        <v>102630.54807692308</v>
      </c>
      <c r="AC13" s="45">
        <f t="shared" si="18"/>
        <v>104</v>
      </c>
      <c r="AD13" s="45">
        <f t="shared" si="18"/>
        <v>10673577</v>
      </c>
      <c r="AE13" s="45">
        <f t="shared" si="12"/>
        <v>106612.74509803922</v>
      </c>
      <c r="AF13" s="45">
        <v>51</v>
      </c>
      <c r="AG13" s="45">
        <v>5437250</v>
      </c>
      <c r="AH13" s="45">
        <f t="shared" si="13"/>
        <v>98798.622641509428</v>
      </c>
      <c r="AI13" s="45">
        <v>53</v>
      </c>
      <c r="AJ13" s="46">
        <v>5236327</v>
      </c>
      <c r="AK13" s="151"/>
      <c r="AL13" s="155"/>
      <c r="AM13" s="44" t="s">
        <v>77</v>
      </c>
      <c r="AN13" s="45">
        <f t="shared" si="14"/>
        <v>774761.02197802195</v>
      </c>
      <c r="AO13" s="45">
        <f t="shared" si="19"/>
        <v>91</v>
      </c>
      <c r="AP13" s="45">
        <f t="shared" si="19"/>
        <v>70503253</v>
      </c>
      <c r="AQ13" s="45">
        <f t="shared" si="15"/>
        <v>859123.79629629629</v>
      </c>
      <c r="AR13" s="45">
        <v>54</v>
      </c>
      <c r="AS13" s="45">
        <v>46392685</v>
      </c>
      <c r="AT13" s="45">
        <f t="shared" si="16"/>
        <v>651636.97297297302</v>
      </c>
      <c r="AU13" s="45">
        <v>37</v>
      </c>
      <c r="AV13" s="46">
        <v>24110568</v>
      </c>
    </row>
    <row r="14" spans="1:48" ht="24" customHeight="1">
      <c r="A14" s="151"/>
      <c r="B14" s="155"/>
      <c r="C14" s="44" t="s">
        <v>79</v>
      </c>
      <c r="D14" s="45">
        <f t="shared" si="0"/>
        <v>1406933.7898230089</v>
      </c>
      <c r="E14" s="45">
        <f t="shared" si="17"/>
        <v>1356</v>
      </c>
      <c r="F14" s="45">
        <f t="shared" si="17"/>
        <v>1907802219</v>
      </c>
      <c r="G14" s="45">
        <f t="shared" si="6"/>
        <v>1433062.0179310346</v>
      </c>
      <c r="H14" s="45">
        <v>725</v>
      </c>
      <c r="I14" s="45">
        <v>1038969963</v>
      </c>
      <c r="J14" s="45">
        <f t="shared" si="2"/>
        <v>1376913.2424722663</v>
      </c>
      <c r="K14" s="45">
        <v>631</v>
      </c>
      <c r="L14" s="46">
        <v>868832256</v>
      </c>
      <c r="M14" s="151"/>
      <c r="N14" s="155"/>
      <c r="O14" s="44" t="s">
        <v>79</v>
      </c>
      <c r="P14" s="45">
        <f t="shared" si="7"/>
        <v>19256.40834087109</v>
      </c>
      <c r="Q14" s="45">
        <v>24322</v>
      </c>
      <c r="R14" s="45">
        <f t="shared" si="8"/>
        <v>5620252364</v>
      </c>
      <c r="S14" s="45">
        <f t="shared" si="9"/>
        <v>20464.164124092065</v>
      </c>
      <c r="T14" s="45">
        <v>11553.25</v>
      </c>
      <c r="U14" s="45">
        <v>2837131250</v>
      </c>
      <c r="V14" s="81">
        <f t="shared" si="10"/>
        <v>18163.622868330884</v>
      </c>
      <c r="W14" s="45">
        <v>12768.75</v>
      </c>
      <c r="X14" s="46">
        <v>2783121114</v>
      </c>
      <c r="Y14" s="151"/>
      <c r="Z14" s="155"/>
      <c r="AA14" s="44" t="s">
        <v>79</v>
      </c>
      <c r="AB14" s="45">
        <f t="shared" si="11"/>
        <v>119946.36413043478</v>
      </c>
      <c r="AC14" s="45">
        <f t="shared" si="18"/>
        <v>184</v>
      </c>
      <c r="AD14" s="45">
        <f t="shared" si="18"/>
        <v>22070131</v>
      </c>
      <c r="AE14" s="45">
        <f t="shared" si="12"/>
        <v>124856.97196261682</v>
      </c>
      <c r="AF14" s="45">
        <v>107</v>
      </c>
      <c r="AG14" s="45">
        <v>13359696</v>
      </c>
      <c r="AH14" s="45">
        <f t="shared" si="13"/>
        <v>113122.53246753247</v>
      </c>
      <c r="AI14" s="45">
        <v>77</v>
      </c>
      <c r="AJ14" s="46">
        <v>8710435</v>
      </c>
      <c r="AK14" s="151"/>
      <c r="AL14" s="155"/>
      <c r="AM14" s="44" t="s">
        <v>79</v>
      </c>
      <c r="AN14" s="45">
        <f t="shared" si="14"/>
        <v>783153.33870967745</v>
      </c>
      <c r="AO14" s="45">
        <f t="shared" si="19"/>
        <v>62</v>
      </c>
      <c r="AP14" s="45">
        <f t="shared" si="19"/>
        <v>48555507</v>
      </c>
      <c r="AQ14" s="45">
        <f t="shared" si="15"/>
        <v>718139.63414634147</v>
      </c>
      <c r="AR14" s="45">
        <v>41</v>
      </c>
      <c r="AS14" s="45">
        <v>29443725</v>
      </c>
      <c r="AT14" s="45">
        <f t="shared" si="16"/>
        <v>910084.85714285716</v>
      </c>
      <c r="AU14" s="45">
        <v>21</v>
      </c>
      <c r="AV14" s="46">
        <v>19111782</v>
      </c>
    </row>
    <row r="15" spans="1:48" ht="24" customHeight="1">
      <c r="A15" s="151"/>
      <c r="B15" s="155"/>
      <c r="C15" s="44" t="s">
        <v>80</v>
      </c>
      <c r="D15" s="45">
        <f t="shared" si="0"/>
        <v>1388261.418319169</v>
      </c>
      <c r="E15" s="45">
        <f t="shared" si="17"/>
        <v>1059</v>
      </c>
      <c r="F15" s="45">
        <f t="shared" si="17"/>
        <v>1470168842</v>
      </c>
      <c r="G15" s="45">
        <f t="shared" si="6"/>
        <v>1400284.0017271158</v>
      </c>
      <c r="H15" s="45">
        <v>579</v>
      </c>
      <c r="I15" s="45">
        <v>810764437</v>
      </c>
      <c r="J15" s="45">
        <f t="shared" si="2"/>
        <v>1373759.1770833333</v>
      </c>
      <c r="K15" s="45">
        <v>480</v>
      </c>
      <c r="L15" s="46">
        <v>659404405</v>
      </c>
      <c r="M15" s="151"/>
      <c r="N15" s="155"/>
      <c r="O15" s="44" t="s">
        <v>80</v>
      </c>
      <c r="P15" s="45">
        <f t="shared" si="7"/>
        <v>18704.254517058234</v>
      </c>
      <c r="Q15" s="45">
        <v>29579.17</v>
      </c>
      <c r="R15" s="45">
        <f t="shared" si="8"/>
        <v>6639075889</v>
      </c>
      <c r="S15" s="45">
        <f t="shared" si="9"/>
        <v>20236.826569975758</v>
      </c>
      <c r="T15" s="45">
        <v>13450.42</v>
      </c>
      <c r="U15" s="45">
        <v>3266325802</v>
      </c>
      <c r="V15" s="81">
        <f t="shared" si="10"/>
        <v>17426.180407657132</v>
      </c>
      <c r="W15" s="45">
        <v>16128.75</v>
      </c>
      <c r="X15" s="46">
        <v>3372750087</v>
      </c>
      <c r="Y15" s="151"/>
      <c r="Z15" s="155"/>
      <c r="AA15" s="44" t="s">
        <v>80</v>
      </c>
      <c r="AB15" s="45">
        <f t="shared" si="11"/>
        <v>84364.718614718615</v>
      </c>
      <c r="AC15" s="45">
        <f t="shared" si="18"/>
        <v>231</v>
      </c>
      <c r="AD15" s="45">
        <f t="shared" si="18"/>
        <v>19488250</v>
      </c>
      <c r="AE15" s="45">
        <f t="shared" si="12"/>
        <v>96810.708029197078</v>
      </c>
      <c r="AF15" s="45">
        <v>137</v>
      </c>
      <c r="AG15" s="45">
        <v>13263067</v>
      </c>
      <c r="AH15" s="45">
        <f t="shared" si="13"/>
        <v>66225.351063829788</v>
      </c>
      <c r="AI15" s="45">
        <v>94</v>
      </c>
      <c r="AJ15" s="46">
        <v>6225183</v>
      </c>
      <c r="AK15" s="151"/>
      <c r="AL15" s="155"/>
      <c r="AM15" s="44" t="s">
        <v>80</v>
      </c>
      <c r="AN15" s="45">
        <f t="shared" si="14"/>
        <v>813400.78260869568</v>
      </c>
      <c r="AO15" s="45">
        <f t="shared" si="19"/>
        <v>92</v>
      </c>
      <c r="AP15" s="45">
        <f t="shared" si="19"/>
        <v>74832872</v>
      </c>
      <c r="AQ15" s="45">
        <f t="shared" si="15"/>
        <v>824418.24242424243</v>
      </c>
      <c r="AR15" s="45">
        <v>66</v>
      </c>
      <c r="AS15" s="45">
        <v>54411604</v>
      </c>
      <c r="AT15" s="45">
        <f t="shared" si="16"/>
        <v>785433.38461538462</v>
      </c>
      <c r="AU15" s="45">
        <v>26</v>
      </c>
      <c r="AV15" s="46">
        <v>20421268</v>
      </c>
    </row>
    <row r="16" spans="1:48" ht="24" customHeight="1">
      <c r="A16" s="151"/>
      <c r="B16" s="155"/>
      <c r="C16" s="44" t="s">
        <v>81</v>
      </c>
      <c r="D16" s="45">
        <f t="shared" si="0"/>
        <v>1365337.8541414142</v>
      </c>
      <c r="E16" s="45">
        <f t="shared" si="17"/>
        <v>2475</v>
      </c>
      <c r="F16" s="45">
        <f t="shared" si="17"/>
        <v>3379211189</v>
      </c>
      <c r="G16" s="45">
        <f t="shared" si="6"/>
        <v>1403297.9414814815</v>
      </c>
      <c r="H16" s="45">
        <v>1350</v>
      </c>
      <c r="I16" s="45">
        <v>1894452221</v>
      </c>
      <c r="J16" s="45">
        <f t="shared" si="2"/>
        <v>1319785.7493333332</v>
      </c>
      <c r="K16" s="45">
        <v>1125</v>
      </c>
      <c r="L16" s="46">
        <v>1484758968</v>
      </c>
      <c r="M16" s="151"/>
      <c r="N16" s="155"/>
      <c r="O16" s="44" t="s">
        <v>81</v>
      </c>
      <c r="P16" s="45">
        <f t="shared" si="7"/>
        <v>17055.20546958159</v>
      </c>
      <c r="Q16" s="45">
        <v>72144.58</v>
      </c>
      <c r="R16" s="45">
        <f t="shared" si="8"/>
        <v>14765287625</v>
      </c>
      <c r="S16" s="45">
        <f t="shared" si="9"/>
        <v>18206.867654790509</v>
      </c>
      <c r="T16" s="45">
        <v>33919.5</v>
      </c>
      <c r="U16" s="45">
        <v>7410814169</v>
      </c>
      <c r="V16" s="81">
        <f t="shared" si="10"/>
        <v>16033.263710631867</v>
      </c>
      <c r="W16" s="45">
        <v>38225.08</v>
      </c>
      <c r="X16" s="46">
        <v>7354473456</v>
      </c>
      <c r="Y16" s="151"/>
      <c r="Z16" s="155"/>
      <c r="AA16" s="44" t="s">
        <v>81</v>
      </c>
      <c r="AB16" s="45">
        <f t="shared" si="11"/>
        <v>86653.298642533933</v>
      </c>
      <c r="AC16" s="45">
        <f t="shared" si="18"/>
        <v>663</v>
      </c>
      <c r="AD16" s="45">
        <f t="shared" si="18"/>
        <v>57451137</v>
      </c>
      <c r="AE16" s="45">
        <f t="shared" si="12"/>
        <v>104846.41982507288</v>
      </c>
      <c r="AF16" s="45">
        <v>343</v>
      </c>
      <c r="AG16" s="45">
        <v>35962322</v>
      </c>
      <c r="AH16" s="45">
        <f t="shared" si="13"/>
        <v>67152.546875</v>
      </c>
      <c r="AI16" s="45">
        <v>320</v>
      </c>
      <c r="AJ16" s="46">
        <v>21488815</v>
      </c>
      <c r="AK16" s="151"/>
      <c r="AL16" s="155"/>
      <c r="AM16" s="44" t="s">
        <v>81</v>
      </c>
      <c r="AN16" s="45">
        <f t="shared" si="14"/>
        <v>720980.32158590306</v>
      </c>
      <c r="AO16" s="45">
        <f t="shared" si="19"/>
        <v>227</v>
      </c>
      <c r="AP16" s="45">
        <f t="shared" si="19"/>
        <v>163662533</v>
      </c>
      <c r="AQ16" s="45">
        <f t="shared" si="15"/>
        <v>698379.18300653598</v>
      </c>
      <c r="AR16" s="45">
        <v>153</v>
      </c>
      <c r="AS16" s="45">
        <v>106852015</v>
      </c>
      <c r="AT16" s="45">
        <f t="shared" si="16"/>
        <v>767709.70270270272</v>
      </c>
      <c r="AU16" s="45">
        <v>74</v>
      </c>
      <c r="AV16" s="46">
        <v>56810518</v>
      </c>
    </row>
    <row r="17" spans="1:48" ht="24" customHeight="1">
      <c r="A17" s="151"/>
      <c r="B17" s="155"/>
      <c r="C17" s="44" t="s">
        <v>82</v>
      </c>
      <c r="D17" s="45">
        <f t="shared" si="0"/>
        <v>1334863.5942028984</v>
      </c>
      <c r="E17" s="45">
        <f t="shared" si="17"/>
        <v>897</v>
      </c>
      <c r="F17" s="45">
        <f t="shared" si="17"/>
        <v>1197372644</v>
      </c>
      <c r="G17" s="45">
        <f t="shared" si="6"/>
        <v>1357402.8247422681</v>
      </c>
      <c r="H17" s="45">
        <v>485</v>
      </c>
      <c r="I17" s="45">
        <v>658340370</v>
      </c>
      <c r="J17" s="45">
        <f t="shared" si="2"/>
        <v>1308330.7621359224</v>
      </c>
      <c r="K17" s="45">
        <v>412</v>
      </c>
      <c r="L17" s="46">
        <v>539032274</v>
      </c>
      <c r="M17" s="151"/>
      <c r="N17" s="155"/>
      <c r="O17" s="44" t="s">
        <v>82</v>
      </c>
      <c r="P17" s="45">
        <f t="shared" si="7"/>
        <v>17996.011185344785</v>
      </c>
      <c r="Q17" s="45">
        <v>32409.67</v>
      </c>
      <c r="R17" s="45">
        <f t="shared" si="8"/>
        <v>6998937406</v>
      </c>
      <c r="S17" s="45">
        <f t="shared" si="9"/>
        <v>18873.914298139727</v>
      </c>
      <c r="T17" s="45">
        <v>13122.08</v>
      </c>
      <c r="U17" s="45">
        <v>2971980160</v>
      </c>
      <c r="V17" s="81">
        <f t="shared" si="10"/>
        <v>17398.749376541793</v>
      </c>
      <c r="W17" s="45">
        <v>19287.580000000002</v>
      </c>
      <c r="X17" s="46">
        <v>4026957246</v>
      </c>
      <c r="Y17" s="151"/>
      <c r="Z17" s="155"/>
      <c r="AA17" s="44" t="s">
        <v>82</v>
      </c>
      <c r="AB17" s="45">
        <f t="shared" si="11"/>
        <v>97031.454545454544</v>
      </c>
      <c r="AC17" s="45">
        <f t="shared" si="18"/>
        <v>176</v>
      </c>
      <c r="AD17" s="45">
        <f t="shared" si="18"/>
        <v>17077536</v>
      </c>
      <c r="AE17" s="45">
        <f t="shared" si="12"/>
        <v>107712.01204819277</v>
      </c>
      <c r="AF17" s="45">
        <v>83</v>
      </c>
      <c r="AG17" s="45">
        <v>8940097</v>
      </c>
      <c r="AH17" s="45">
        <f t="shared" si="13"/>
        <v>87499.344086021505</v>
      </c>
      <c r="AI17" s="45">
        <v>93</v>
      </c>
      <c r="AJ17" s="46">
        <v>8137439</v>
      </c>
      <c r="AK17" s="151"/>
      <c r="AL17" s="155"/>
      <c r="AM17" s="44" t="s">
        <v>82</v>
      </c>
      <c r="AN17" s="45">
        <f t="shared" si="14"/>
        <v>750510.64</v>
      </c>
      <c r="AO17" s="45">
        <f t="shared" si="19"/>
        <v>100</v>
      </c>
      <c r="AP17" s="45">
        <f t="shared" si="19"/>
        <v>75051064</v>
      </c>
      <c r="AQ17" s="45">
        <f t="shared" si="15"/>
        <v>805496.50847457629</v>
      </c>
      <c r="AR17" s="45">
        <v>59</v>
      </c>
      <c r="AS17" s="45">
        <v>47524294</v>
      </c>
      <c r="AT17" s="45">
        <f t="shared" si="16"/>
        <v>671384.63414634147</v>
      </c>
      <c r="AU17" s="45">
        <v>41</v>
      </c>
      <c r="AV17" s="46">
        <v>27526770</v>
      </c>
    </row>
    <row r="18" spans="1:48" ht="24" customHeight="1">
      <c r="A18" s="151"/>
      <c r="B18" s="155"/>
      <c r="C18" s="44" t="s">
        <v>83</v>
      </c>
      <c r="D18" s="45">
        <f t="shared" si="0"/>
        <v>1355331.828402367</v>
      </c>
      <c r="E18" s="45">
        <f t="shared" si="17"/>
        <v>1352</v>
      </c>
      <c r="F18" s="45">
        <f t="shared" si="17"/>
        <v>1832408632</v>
      </c>
      <c r="G18" s="45">
        <f t="shared" si="6"/>
        <v>1337972.9297297297</v>
      </c>
      <c r="H18" s="45">
        <v>740</v>
      </c>
      <c r="I18" s="45">
        <v>990099968</v>
      </c>
      <c r="J18" s="45">
        <f t="shared" si="2"/>
        <v>1376321.3464052288</v>
      </c>
      <c r="K18" s="45">
        <v>612</v>
      </c>
      <c r="L18" s="46">
        <v>842308664</v>
      </c>
      <c r="M18" s="151"/>
      <c r="N18" s="155"/>
      <c r="O18" s="44" t="s">
        <v>83</v>
      </c>
      <c r="P18" s="45">
        <f t="shared" si="7"/>
        <v>17472.11977351319</v>
      </c>
      <c r="Q18" s="45">
        <v>42533.75</v>
      </c>
      <c r="R18" s="45">
        <f t="shared" si="8"/>
        <v>8917857293</v>
      </c>
      <c r="S18" s="45">
        <f t="shared" si="9"/>
        <v>18631.584746269687</v>
      </c>
      <c r="T18" s="45">
        <v>18220.330000000002</v>
      </c>
      <c r="U18" s="45">
        <v>4073683470</v>
      </c>
      <c r="V18" s="81">
        <f t="shared" si="10"/>
        <v>16603.223730625585</v>
      </c>
      <c r="W18" s="45">
        <v>24313.42</v>
      </c>
      <c r="X18" s="46">
        <v>4844173823</v>
      </c>
      <c r="Y18" s="151"/>
      <c r="Z18" s="155"/>
      <c r="AA18" s="44" t="s">
        <v>83</v>
      </c>
      <c r="AB18" s="45">
        <f t="shared" si="11"/>
        <v>88825.136186770425</v>
      </c>
      <c r="AC18" s="45">
        <f t="shared" si="18"/>
        <v>257</v>
      </c>
      <c r="AD18" s="45">
        <f t="shared" si="18"/>
        <v>22828060</v>
      </c>
      <c r="AE18" s="45">
        <f t="shared" si="12"/>
        <v>93694.822580645166</v>
      </c>
      <c r="AF18" s="45">
        <v>186</v>
      </c>
      <c r="AG18" s="45">
        <v>17427237</v>
      </c>
      <c r="AH18" s="45">
        <f t="shared" si="13"/>
        <v>76067.929577464791</v>
      </c>
      <c r="AI18" s="45">
        <v>71</v>
      </c>
      <c r="AJ18" s="46">
        <v>5400823</v>
      </c>
      <c r="AK18" s="151"/>
      <c r="AL18" s="155"/>
      <c r="AM18" s="44" t="s">
        <v>83</v>
      </c>
      <c r="AN18" s="45">
        <f t="shared" si="14"/>
        <v>731359.5555555555</v>
      </c>
      <c r="AO18" s="45">
        <f t="shared" si="19"/>
        <v>180</v>
      </c>
      <c r="AP18" s="45">
        <f t="shared" si="19"/>
        <v>131644720</v>
      </c>
      <c r="AQ18" s="45">
        <f t="shared" si="15"/>
        <v>814464.83636363631</v>
      </c>
      <c r="AR18" s="45">
        <v>110</v>
      </c>
      <c r="AS18" s="45">
        <v>89591132</v>
      </c>
      <c r="AT18" s="45">
        <f t="shared" si="16"/>
        <v>600765.54285714286</v>
      </c>
      <c r="AU18" s="45">
        <v>70</v>
      </c>
      <c r="AV18" s="46">
        <v>42053588</v>
      </c>
    </row>
    <row r="19" spans="1:48" ht="24" customHeight="1">
      <c r="A19" s="151"/>
      <c r="B19" s="155"/>
      <c r="C19" s="44" t="s">
        <v>84</v>
      </c>
      <c r="D19" s="45">
        <f t="shared" si="0"/>
        <v>1450098.2503037667</v>
      </c>
      <c r="E19" s="45">
        <f t="shared" si="17"/>
        <v>823</v>
      </c>
      <c r="F19" s="45">
        <f t="shared" si="17"/>
        <v>1193430860</v>
      </c>
      <c r="G19" s="45">
        <f t="shared" si="6"/>
        <v>1507186</v>
      </c>
      <c r="H19" s="45">
        <v>528</v>
      </c>
      <c r="I19" s="45">
        <v>795794208</v>
      </c>
      <c r="J19" s="45">
        <f t="shared" si="2"/>
        <v>1347920.8542372882</v>
      </c>
      <c r="K19" s="45">
        <v>295</v>
      </c>
      <c r="L19" s="46">
        <v>397636652</v>
      </c>
      <c r="M19" s="151"/>
      <c r="N19" s="155"/>
      <c r="O19" s="44" t="s">
        <v>84</v>
      </c>
      <c r="P19" s="45">
        <f t="shared" si="7"/>
        <v>17852.989375843743</v>
      </c>
      <c r="Q19" s="45">
        <v>16439.580000000002</v>
      </c>
      <c r="R19" s="45">
        <f t="shared" si="8"/>
        <v>3521947765</v>
      </c>
      <c r="S19" s="45">
        <f t="shared" si="9"/>
        <v>19040.513989134728</v>
      </c>
      <c r="T19" s="45">
        <v>7704.67</v>
      </c>
      <c r="U19" s="45">
        <v>1760410523</v>
      </c>
      <c r="V19" s="81">
        <f t="shared" si="10"/>
        <v>16805.508254988788</v>
      </c>
      <c r="W19" s="45">
        <v>8734.92</v>
      </c>
      <c r="X19" s="46">
        <v>1761537242</v>
      </c>
      <c r="Y19" s="151"/>
      <c r="Z19" s="155"/>
      <c r="AA19" s="44" t="s">
        <v>84</v>
      </c>
      <c r="AB19" s="45">
        <f t="shared" si="11"/>
        <v>67716.817679558008</v>
      </c>
      <c r="AC19" s="45">
        <f t="shared" si="18"/>
        <v>181</v>
      </c>
      <c r="AD19" s="45">
        <f t="shared" si="18"/>
        <v>12256744</v>
      </c>
      <c r="AE19" s="45">
        <f t="shared" si="12"/>
        <v>81044.677777777775</v>
      </c>
      <c r="AF19" s="45">
        <v>90</v>
      </c>
      <c r="AG19" s="45">
        <v>7294021</v>
      </c>
      <c r="AH19" s="45">
        <f t="shared" si="13"/>
        <v>54535.417582417584</v>
      </c>
      <c r="AI19" s="45">
        <v>91</v>
      </c>
      <c r="AJ19" s="46">
        <v>4962723</v>
      </c>
      <c r="AK19" s="151"/>
      <c r="AL19" s="155"/>
      <c r="AM19" s="44" t="s">
        <v>84</v>
      </c>
      <c r="AN19" s="45">
        <f t="shared" si="14"/>
        <v>740989.65384615387</v>
      </c>
      <c r="AO19" s="45">
        <f t="shared" si="19"/>
        <v>78</v>
      </c>
      <c r="AP19" s="45">
        <f t="shared" si="19"/>
        <v>57797193</v>
      </c>
      <c r="AQ19" s="45">
        <f t="shared" si="15"/>
        <v>794051.45283018867</v>
      </c>
      <c r="AR19" s="45">
        <v>53</v>
      </c>
      <c r="AS19" s="45">
        <v>42084727</v>
      </c>
      <c r="AT19" s="45">
        <f t="shared" si="16"/>
        <v>628498.64</v>
      </c>
      <c r="AU19" s="45">
        <v>25</v>
      </c>
      <c r="AV19" s="46">
        <v>15712466</v>
      </c>
    </row>
    <row r="20" spans="1:48" ht="24" customHeight="1">
      <c r="A20" s="151"/>
      <c r="B20" s="155"/>
      <c r="C20" s="44" t="s">
        <v>85</v>
      </c>
      <c r="D20" s="45">
        <f t="shared" si="0"/>
        <v>1288172.4336818932</v>
      </c>
      <c r="E20" s="45">
        <f t="shared" si="17"/>
        <v>1817</v>
      </c>
      <c r="F20" s="45">
        <f t="shared" si="17"/>
        <v>2340609312</v>
      </c>
      <c r="G20" s="45">
        <f t="shared" si="6"/>
        <v>1294090.4553846153</v>
      </c>
      <c r="H20" s="45">
        <v>975</v>
      </c>
      <c r="I20" s="45">
        <v>1261738194</v>
      </c>
      <c r="J20" s="45">
        <f t="shared" si="2"/>
        <v>1281319.6175771973</v>
      </c>
      <c r="K20" s="45">
        <v>842</v>
      </c>
      <c r="L20" s="46">
        <v>1078871118</v>
      </c>
      <c r="M20" s="151"/>
      <c r="N20" s="155"/>
      <c r="O20" s="44" t="s">
        <v>85</v>
      </c>
      <c r="P20" s="45">
        <f t="shared" si="7"/>
        <v>16993.503774608573</v>
      </c>
      <c r="Q20" s="45">
        <v>41317.75</v>
      </c>
      <c r="R20" s="45">
        <f t="shared" si="8"/>
        <v>8425600087</v>
      </c>
      <c r="S20" s="45">
        <f t="shared" si="9"/>
        <v>18156.294523200868</v>
      </c>
      <c r="T20" s="45">
        <v>17212</v>
      </c>
      <c r="U20" s="45">
        <v>3750073696</v>
      </c>
      <c r="V20" s="81">
        <f t="shared" si="10"/>
        <v>16163.247326882591</v>
      </c>
      <c r="W20" s="45">
        <v>24105.75</v>
      </c>
      <c r="X20" s="46">
        <v>4675526391</v>
      </c>
      <c r="Y20" s="151"/>
      <c r="Z20" s="155"/>
      <c r="AA20" s="44" t="s">
        <v>85</v>
      </c>
      <c r="AB20" s="45">
        <f t="shared" si="11"/>
        <v>94050.954861111109</v>
      </c>
      <c r="AC20" s="45">
        <f t="shared" si="18"/>
        <v>288</v>
      </c>
      <c r="AD20" s="45">
        <f t="shared" si="18"/>
        <v>27086675</v>
      </c>
      <c r="AE20" s="45">
        <f t="shared" si="12"/>
        <v>108515.41176470589</v>
      </c>
      <c r="AF20" s="45">
        <v>136</v>
      </c>
      <c r="AG20" s="45">
        <v>14758096</v>
      </c>
      <c r="AH20" s="45">
        <f t="shared" si="13"/>
        <v>81109.072368421053</v>
      </c>
      <c r="AI20" s="45">
        <v>152</v>
      </c>
      <c r="AJ20" s="46">
        <v>12328579</v>
      </c>
      <c r="AK20" s="151"/>
      <c r="AL20" s="155"/>
      <c r="AM20" s="44" t="s">
        <v>85</v>
      </c>
      <c r="AN20" s="45">
        <f t="shared" si="14"/>
        <v>727888.50837988826</v>
      </c>
      <c r="AO20" s="45">
        <f t="shared" si="19"/>
        <v>179</v>
      </c>
      <c r="AP20" s="45">
        <f t="shared" si="19"/>
        <v>130292043</v>
      </c>
      <c r="AQ20" s="45">
        <f t="shared" si="15"/>
        <v>762671.88288288284</v>
      </c>
      <c r="AR20" s="45">
        <v>111</v>
      </c>
      <c r="AS20" s="45">
        <v>84656579</v>
      </c>
      <c r="AT20" s="45">
        <f t="shared" si="16"/>
        <v>671109.76470588241</v>
      </c>
      <c r="AU20" s="45">
        <v>68</v>
      </c>
      <c r="AV20" s="46">
        <v>45635464</v>
      </c>
    </row>
    <row r="21" spans="1:48" ht="24" customHeight="1">
      <c r="A21" s="151"/>
      <c r="B21" s="155"/>
      <c r="C21" s="44" t="s">
        <v>86</v>
      </c>
      <c r="D21" s="45">
        <f t="shared" si="0"/>
        <v>1073654.1784140968</v>
      </c>
      <c r="E21" s="45">
        <f t="shared" si="17"/>
        <v>454</v>
      </c>
      <c r="F21" s="45">
        <f t="shared" si="17"/>
        <v>487438997</v>
      </c>
      <c r="G21" s="45">
        <f t="shared" si="6"/>
        <v>1107534.9778761063</v>
      </c>
      <c r="H21" s="45">
        <v>226</v>
      </c>
      <c r="I21" s="45">
        <v>250302905</v>
      </c>
      <c r="J21" s="45">
        <f t="shared" si="2"/>
        <v>1040070.5789473684</v>
      </c>
      <c r="K21" s="45">
        <v>228</v>
      </c>
      <c r="L21" s="46">
        <v>237136092</v>
      </c>
      <c r="M21" s="151"/>
      <c r="N21" s="155"/>
      <c r="O21" s="44" t="s">
        <v>86</v>
      </c>
      <c r="P21" s="45">
        <f t="shared" si="7"/>
        <v>17222.470353091325</v>
      </c>
      <c r="Q21" s="45">
        <v>9407.67</v>
      </c>
      <c r="R21" s="45">
        <f t="shared" si="8"/>
        <v>1944279812</v>
      </c>
      <c r="S21" s="45">
        <f t="shared" si="9"/>
        <v>18213.519197384736</v>
      </c>
      <c r="T21" s="45">
        <v>3696.25</v>
      </c>
      <c r="U21" s="45">
        <v>807860644</v>
      </c>
      <c r="V21" s="81">
        <f t="shared" si="10"/>
        <v>16581.094952451986</v>
      </c>
      <c r="W21" s="45">
        <v>5711.42</v>
      </c>
      <c r="X21" s="46">
        <v>1136419168</v>
      </c>
      <c r="Y21" s="151"/>
      <c r="Z21" s="155"/>
      <c r="AA21" s="44" t="s">
        <v>86</v>
      </c>
      <c r="AB21" s="45">
        <f t="shared" si="11"/>
        <v>95303.471428571429</v>
      </c>
      <c r="AC21" s="45">
        <f t="shared" si="18"/>
        <v>70</v>
      </c>
      <c r="AD21" s="45">
        <f t="shared" si="18"/>
        <v>6671243</v>
      </c>
      <c r="AE21" s="45">
        <f t="shared" si="12"/>
        <v>99187.897435897437</v>
      </c>
      <c r="AF21" s="45">
        <v>39</v>
      </c>
      <c r="AG21" s="45">
        <v>3868328</v>
      </c>
      <c r="AH21" s="45">
        <f t="shared" si="13"/>
        <v>90416.612903225803</v>
      </c>
      <c r="AI21" s="45">
        <v>31</v>
      </c>
      <c r="AJ21" s="46">
        <v>2802915</v>
      </c>
      <c r="AK21" s="151"/>
      <c r="AL21" s="155"/>
      <c r="AM21" s="44" t="s">
        <v>86</v>
      </c>
      <c r="AN21" s="45">
        <f t="shared" si="14"/>
        <v>871565.125</v>
      </c>
      <c r="AO21" s="45">
        <f t="shared" si="19"/>
        <v>24</v>
      </c>
      <c r="AP21" s="45">
        <f t="shared" si="19"/>
        <v>20917563</v>
      </c>
      <c r="AQ21" s="45">
        <f t="shared" si="15"/>
        <v>857814.83333333337</v>
      </c>
      <c r="AR21" s="45">
        <v>12</v>
      </c>
      <c r="AS21" s="45">
        <v>10293778</v>
      </c>
      <c r="AT21" s="45">
        <f t="shared" si="16"/>
        <v>885315.41666666663</v>
      </c>
      <c r="AU21" s="45">
        <v>12</v>
      </c>
      <c r="AV21" s="46">
        <v>10623785</v>
      </c>
    </row>
    <row r="22" spans="1:48" ht="24" customHeight="1">
      <c r="A22" s="151"/>
      <c r="B22" s="155"/>
      <c r="C22" s="44" t="s">
        <v>87</v>
      </c>
      <c r="D22" s="45">
        <f t="shared" si="0"/>
        <v>1195580.9655870446</v>
      </c>
      <c r="E22" s="45">
        <f t="shared" si="17"/>
        <v>988</v>
      </c>
      <c r="F22" s="45">
        <f t="shared" si="17"/>
        <v>1181233994</v>
      </c>
      <c r="G22" s="45">
        <f t="shared" si="6"/>
        <v>1208979.1599190284</v>
      </c>
      <c r="H22" s="45">
        <v>494</v>
      </c>
      <c r="I22" s="45">
        <v>597235705</v>
      </c>
      <c r="J22" s="45">
        <f t="shared" si="2"/>
        <v>1182182.7712550608</v>
      </c>
      <c r="K22" s="45">
        <v>494</v>
      </c>
      <c r="L22" s="46">
        <v>583998289</v>
      </c>
      <c r="M22" s="151"/>
      <c r="N22" s="155"/>
      <c r="O22" s="44" t="s">
        <v>87</v>
      </c>
      <c r="P22" s="45">
        <f t="shared" si="7"/>
        <v>18749.21332567538</v>
      </c>
      <c r="Q22" s="45">
        <v>21380.83</v>
      </c>
      <c r="R22" s="45">
        <f t="shared" si="8"/>
        <v>4810484913</v>
      </c>
      <c r="S22" s="45">
        <f t="shared" si="9"/>
        <v>20205.646586800976</v>
      </c>
      <c r="T22" s="45">
        <v>8638.67</v>
      </c>
      <c r="U22" s="45">
        <v>2094598956</v>
      </c>
      <c r="V22" s="81">
        <f t="shared" si="10"/>
        <v>17761.796440480703</v>
      </c>
      <c r="W22" s="45">
        <v>12742.17</v>
      </c>
      <c r="X22" s="46">
        <v>2715885957</v>
      </c>
      <c r="Y22" s="151"/>
      <c r="Z22" s="155"/>
      <c r="AA22" s="44" t="s">
        <v>87</v>
      </c>
      <c r="AB22" s="45">
        <f t="shared" si="11"/>
        <v>93515.468085106389</v>
      </c>
      <c r="AC22" s="45">
        <f t="shared" si="18"/>
        <v>188</v>
      </c>
      <c r="AD22" s="45">
        <f t="shared" si="18"/>
        <v>17580908</v>
      </c>
      <c r="AE22" s="45">
        <f t="shared" si="12"/>
        <v>92739.75213675214</v>
      </c>
      <c r="AF22" s="45">
        <v>117</v>
      </c>
      <c r="AG22" s="45">
        <v>10850551</v>
      </c>
      <c r="AH22" s="45">
        <f t="shared" si="13"/>
        <v>94793.760563380289</v>
      </c>
      <c r="AI22" s="45">
        <v>71</v>
      </c>
      <c r="AJ22" s="46">
        <v>6730357</v>
      </c>
      <c r="AK22" s="151"/>
      <c r="AL22" s="155"/>
      <c r="AM22" s="44" t="s">
        <v>87</v>
      </c>
      <c r="AN22" s="45">
        <f t="shared" si="14"/>
        <v>823318.33333333337</v>
      </c>
      <c r="AO22" s="45">
        <f t="shared" si="19"/>
        <v>69</v>
      </c>
      <c r="AP22" s="45">
        <f t="shared" si="19"/>
        <v>56808965</v>
      </c>
      <c r="AQ22" s="45">
        <f t="shared" si="15"/>
        <v>982807.51162790693</v>
      </c>
      <c r="AR22" s="45">
        <v>43</v>
      </c>
      <c r="AS22" s="45">
        <v>42260723</v>
      </c>
      <c r="AT22" s="45">
        <f t="shared" si="16"/>
        <v>559547.76923076925</v>
      </c>
      <c r="AU22" s="45">
        <v>26</v>
      </c>
      <c r="AV22" s="46">
        <v>14548242</v>
      </c>
    </row>
    <row r="23" spans="1:48" ht="24" customHeight="1">
      <c r="A23" s="151"/>
      <c r="B23" s="155"/>
      <c r="C23" s="44" t="s">
        <v>88</v>
      </c>
      <c r="D23" s="45">
        <f t="shared" si="0"/>
        <v>1374956.9967320261</v>
      </c>
      <c r="E23" s="45">
        <f t="shared" si="17"/>
        <v>306</v>
      </c>
      <c r="F23" s="45">
        <f t="shared" si="17"/>
        <v>420736841</v>
      </c>
      <c r="G23" s="45">
        <f t="shared" si="6"/>
        <v>1352264.7923497267</v>
      </c>
      <c r="H23" s="45">
        <v>183</v>
      </c>
      <c r="I23" s="45">
        <v>247464457</v>
      </c>
      <c r="J23" s="45">
        <f t="shared" si="2"/>
        <v>1408718.569105691</v>
      </c>
      <c r="K23" s="45">
        <v>123</v>
      </c>
      <c r="L23" s="46">
        <v>173272384</v>
      </c>
      <c r="M23" s="151"/>
      <c r="N23" s="155"/>
      <c r="O23" s="44" t="s">
        <v>88</v>
      </c>
      <c r="P23" s="45">
        <f t="shared" si="7"/>
        <v>18220.081284231441</v>
      </c>
      <c r="Q23" s="45">
        <v>5834.67</v>
      </c>
      <c r="R23" s="45">
        <f t="shared" si="8"/>
        <v>1275697940</v>
      </c>
      <c r="S23" s="45">
        <f t="shared" si="9"/>
        <v>19274.324005985531</v>
      </c>
      <c r="T23" s="45">
        <v>2129.58</v>
      </c>
      <c r="U23" s="45">
        <v>492554579</v>
      </c>
      <c r="V23" s="81">
        <f t="shared" si="10"/>
        <v>17614.18019314023</v>
      </c>
      <c r="W23" s="45">
        <v>3705.08</v>
      </c>
      <c r="X23" s="46">
        <v>783143361</v>
      </c>
      <c r="Y23" s="151"/>
      <c r="Z23" s="155"/>
      <c r="AA23" s="44" t="s">
        <v>88</v>
      </c>
      <c r="AB23" s="45">
        <f t="shared" si="11"/>
        <v>132480.20000000001</v>
      </c>
      <c r="AC23" s="45">
        <f t="shared" si="18"/>
        <v>25</v>
      </c>
      <c r="AD23" s="45">
        <f t="shared" si="18"/>
        <v>3312005</v>
      </c>
      <c r="AE23" s="45">
        <f t="shared" si="12"/>
        <v>99137.111111111109</v>
      </c>
      <c r="AF23" s="45">
        <v>9</v>
      </c>
      <c r="AG23" s="45">
        <v>892234</v>
      </c>
      <c r="AH23" s="45">
        <f t="shared" si="13"/>
        <v>151235.6875</v>
      </c>
      <c r="AI23" s="45">
        <v>16</v>
      </c>
      <c r="AJ23" s="46">
        <v>2419771</v>
      </c>
      <c r="AK23" s="151"/>
      <c r="AL23" s="155"/>
      <c r="AM23" s="44" t="s">
        <v>88</v>
      </c>
      <c r="AN23" s="45">
        <f t="shared" si="14"/>
        <v>796064.66666666663</v>
      </c>
      <c r="AO23" s="45">
        <f t="shared" si="19"/>
        <v>18</v>
      </c>
      <c r="AP23" s="45">
        <f t="shared" si="19"/>
        <v>14329164</v>
      </c>
      <c r="AQ23" s="45">
        <f t="shared" si="15"/>
        <v>824968.58333333337</v>
      </c>
      <c r="AR23" s="45">
        <v>12</v>
      </c>
      <c r="AS23" s="45">
        <v>9899623</v>
      </c>
      <c r="AT23" s="45">
        <f t="shared" si="16"/>
        <v>738256.83333333337</v>
      </c>
      <c r="AU23" s="45">
        <v>6</v>
      </c>
      <c r="AV23" s="46">
        <v>4429541</v>
      </c>
    </row>
    <row r="24" spans="1:48" ht="24" customHeight="1">
      <c r="A24" s="151"/>
      <c r="B24" s="155"/>
      <c r="C24" s="44" t="s">
        <v>89</v>
      </c>
      <c r="D24" s="45">
        <f t="shared" si="0"/>
        <v>1490424.8</v>
      </c>
      <c r="E24" s="45">
        <f t="shared" si="17"/>
        <v>1280</v>
      </c>
      <c r="F24" s="45">
        <f t="shared" si="17"/>
        <v>1907743744</v>
      </c>
      <c r="G24" s="45">
        <f t="shared" si="6"/>
        <v>1447571.0485584219</v>
      </c>
      <c r="H24" s="45">
        <v>659</v>
      </c>
      <c r="I24" s="45">
        <v>953949321</v>
      </c>
      <c r="J24" s="45">
        <f t="shared" si="2"/>
        <v>1535900.8421900161</v>
      </c>
      <c r="K24" s="45">
        <v>621</v>
      </c>
      <c r="L24" s="46">
        <v>953794423</v>
      </c>
      <c r="M24" s="151"/>
      <c r="N24" s="155"/>
      <c r="O24" s="44" t="s">
        <v>89</v>
      </c>
      <c r="P24" s="45">
        <f t="shared" si="7"/>
        <v>19702.894128092139</v>
      </c>
      <c r="Q24" s="45">
        <v>30692.75</v>
      </c>
      <c r="R24" s="45">
        <f t="shared" si="8"/>
        <v>7256832045</v>
      </c>
      <c r="S24" s="45">
        <f t="shared" si="9"/>
        <v>20792.805588715648</v>
      </c>
      <c r="T24" s="45">
        <v>12121.33</v>
      </c>
      <c r="U24" s="45">
        <v>3024437498</v>
      </c>
      <c r="V24" s="81">
        <f t="shared" si="10"/>
        <v>18991.522758266914</v>
      </c>
      <c r="W24" s="45">
        <v>18571.419999999998</v>
      </c>
      <c r="X24" s="46">
        <v>4232394547</v>
      </c>
      <c r="Y24" s="151"/>
      <c r="Z24" s="155"/>
      <c r="AA24" s="44" t="s">
        <v>89</v>
      </c>
      <c r="AB24" s="45">
        <f t="shared" si="11"/>
        <v>115193.86111111111</v>
      </c>
      <c r="AC24" s="45">
        <f t="shared" si="18"/>
        <v>108</v>
      </c>
      <c r="AD24" s="45">
        <f t="shared" si="18"/>
        <v>12440937</v>
      </c>
      <c r="AE24" s="45">
        <f t="shared" si="12"/>
        <v>113644.45098039215</v>
      </c>
      <c r="AF24" s="45">
        <v>51</v>
      </c>
      <c r="AG24" s="45">
        <v>5795867</v>
      </c>
      <c r="AH24" s="45">
        <f t="shared" si="13"/>
        <v>116580.17543859649</v>
      </c>
      <c r="AI24" s="45">
        <v>57</v>
      </c>
      <c r="AJ24" s="46">
        <v>6645070</v>
      </c>
      <c r="AK24" s="151"/>
      <c r="AL24" s="155"/>
      <c r="AM24" s="44" t="s">
        <v>89</v>
      </c>
      <c r="AN24" s="45">
        <f t="shared" si="14"/>
        <v>788237.6516853933</v>
      </c>
      <c r="AO24" s="45">
        <f t="shared" si="19"/>
        <v>89</v>
      </c>
      <c r="AP24" s="45">
        <f t="shared" si="19"/>
        <v>70153151</v>
      </c>
      <c r="AQ24" s="45">
        <f t="shared" si="15"/>
        <v>874495.98275862064</v>
      </c>
      <c r="AR24" s="45">
        <v>58</v>
      </c>
      <c r="AS24" s="45">
        <v>50720767</v>
      </c>
      <c r="AT24" s="45">
        <f t="shared" si="16"/>
        <v>626851.09677419357</v>
      </c>
      <c r="AU24" s="45">
        <v>31</v>
      </c>
      <c r="AV24" s="46">
        <v>19432384</v>
      </c>
    </row>
    <row r="25" spans="1:48" ht="24" customHeight="1">
      <c r="A25" s="151"/>
      <c r="B25" s="155"/>
      <c r="C25" s="44" t="s">
        <v>90</v>
      </c>
      <c r="D25" s="45">
        <f t="shared" si="0"/>
        <v>1515427.4982817869</v>
      </c>
      <c r="E25" s="45">
        <f t="shared" si="17"/>
        <v>1455</v>
      </c>
      <c r="F25" s="45">
        <f t="shared" si="17"/>
        <v>2204947010</v>
      </c>
      <c r="G25" s="45">
        <f t="shared" si="6"/>
        <v>1511490.4464993395</v>
      </c>
      <c r="H25" s="45">
        <v>757</v>
      </c>
      <c r="I25" s="45">
        <v>1144198268</v>
      </c>
      <c r="J25" s="45">
        <f t="shared" si="2"/>
        <v>1519697.3381088825</v>
      </c>
      <c r="K25" s="45">
        <v>698</v>
      </c>
      <c r="L25" s="46">
        <v>1060748742</v>
      </c>
      <c r="M25" s="151"/>
      <c r="N25" s="155"/>
      <c r="O25" s="44" t="s">
        <v>90</v>
      </c>
      <c r="P25" s="45">
        <f t="shared" si="7"/>
        <v>18641.748491967744</v>
      </c>
      <c r="Q25" s="45">
        <v>27560.75</v>
      </c>
      <c r="R25" s="45">
        <f t="shared" si="8"/>
        <v>6165366837</v>
      </c>
      <c r="S25" s="45">
        <f t="shared" si="9"/>
        <v>19558.494785675943</v>
      </c>
      <c r="T25" s="45">
        <v>13041</v>
      </c>
      <c r="U25" s="45">
        <v>3060747966</v>
      </c>
      <c r="V25" s="81">
        <f t="shared" si="10"/>
        <v>17818.367344479073</v>
      </c>
      <c r="W25" s="45">
        <v>14519.75</v>
      </c>
      <c r="X25" s="46">
        <v>3104618871</v>
      </c>
      <c r="Y25" s="151"/>
      <c r="Z25" s="155"/>
      <c r="AA25" s="44" t="s">
        <v>90</v>
      </c>
      <c r="AB25" s="45">
        <f t="shared" si="11"/>
        <v>107043.59745762713</v>
      </c>
      <c r="AC25" s="45">
        <f t="shared" si="18"/>
        <v>236</v>
      </c>
      <c r="AD25" s="45">
        <f t="shared" si="18"/>
        <v>25262289</v>
      </c>
      <c r="AE25" s="45">
        <f t="shared" si="12"/>
        <v>114634.3829787234</v>
      </c>
      <c r="AF25" s="45">
        <v>141</v>
      </c>
      <c r="AG25" s="45">
        <v>16163448</v>
      </c>
      <c r="AH25" s="45">
        <f t="shared" si="13"/>
        <v>95777.273684210522</v>
      </c>
      <c r="AI25" s="45">
        <v>95</v>
      </c>
      <c r="AJ25" s="46">
        <v>9098841</v>
      </c>
      <c r="AK25" s="151"/>
      <c r="AL25" s="155"/>
      <c r="AM25" s="44" t="s">
        <v>90</v>
      </c>
      <c r="AN25" s="45">
        <f t="shared" si="14"/>
        <v>751755.95714285714</v>
      </c>
      <c r="AO25" s="45">
        <f t="shared" si="19"/>
        <v>70</v>
      </c>
      <c r="AP25" s="45">
        <f t="shared" si="19"/>
        <v>52622917</v>
      </c>
      <c r="AQ25" s="45">
        <f t="shared" si="15"/>
        <v>800049.04878048785</v>
      </c>
      <c r="AR25" s="45">
        <v>41</v>
      </c>
      <c r="AS25" s="45">
        <v>32802011</v>
      </c>
      <c r="AT25" s="45">
        <f t="shared" si="16"/>
        <v>683479.51724137936</v>
      </c>
      <c r="AU25" s="45">
        <v>29</v>
      </c>
      <c r="AV25" s="46">
        <v>19820906</v>
      </c>
    </row>
    <row r="26" spans="1:48" ht="24" customHeight="1">
      <c r="A26" s="151"/>
      <c r="B26" s="155"/>
      <c r="C26" s="44" t="s">
        <v>91</v>
      </c>
      <c r="D26" s="45">
        <f t="shared" si="0"/>
        <v>1413871.3494105036</v>
      </c>
      <c r="E26" s="45">
        <f t="shared" si="17"/>
        <v>933</v>
      </c>
      <c r="F26" s="45">
        <f t="shared" si="17"/>
        <v>1319141969</v>
      </c>
      <c r="G26" s="45">
        <f t="shared" si="6"/>
        <v>1420222.812889813</v>
      </c>
      <c r="H26" s="45">
        <v>481</v>
      </c>
      <c r="I26" s="45">
        <v>683127173</v>
      </c>
      <c r="J26" s="45">
        <f t="shared" si="2"/>
        <v>1407112.3805309734</v>
      </c>
      <c r="K26" s="45">
        <v>452</v>
      </c>
      <c r="L26" s="46">
        <v>636014796</v>
      </c>
      <c r="M26" s="151"/>
      <c r="N26" s="155"/>
      <c r="O26" s="44" t="s">
        <v>91</v>
      </c>
      <c r="P26" s="45">
        <f t="shared" si="7"/>
        <v>17946.968110083853</v>
      </c>
      <c r="Q26" s="45">
        <v>29068.75</v>
      </c>
      <c r="R26" s="45">
        <f t="shared" si="8"/>
        <v>6260351151</v>
      </c>
      <c r="S26" s="45">
        <f t="shared" si="9"/>
        <v>18809.843682041188</v>
      </c>
      <c r="T26" s="45">
        <v>12476.92</v>
      </c>
      <c r="U26" s="45">
        <v>2816266978</v>
      </c>
      <c r="V26" s="81">
        <f t="shared" si="10"/>
        <v>17298.09276111596</v>
      </c>
      <c r="W26" s="45">
        <v>16591.830000000002</v>
      </c>
      <c r="X26" s="46">
        <v>3444084173</v>
      </c>
      <c r="Y26" s="151"/>
      <c r="Z26" s="155"/>
      <c r="AA26" s="44" t="s">
        <v>91</v>
      </c>
      <c r="AB26" s="45">
        <f t="shared" si="11"/>
        <v>78669.811111111107</v>
      </c>
      <c r="AC26" s="45">
        <f t="shared" si="18"/>
        <v>180</v>
      </c>
      <c r="AD26" s="45">
        <f t="shared" si="18"/>
        <v>14160566</v>
      </c>
      <c r="AE26" s="45">
        <f t="shared" si="12"/>
        <v>99343.61538461539</v>
      </c>
      <c r="AF26" s="45">
        <v>91</v>
      </c>
      <c r="AG26" s="45">
        <v>9040269</v>
      </c>
      <c r="AH26" s="45">
        <f t="shared" si="13"/>
        <v>57531.426966292136</v>
      </c>
      <c r="AI26" s="45">
        <v>89</v>
      </c>
      <c r="AJ26" s="46">
        <v>5120297</v>
      </c>
      <c r="AK26" s="151"/>
      <c r="AL26" s="155"/>
      <c r="AM26" s="44" t="s">
        <v>91</v>
      </c>
      <c r="AN26" s="45">
        <f t="shared" si="14"/>
        <v>708370.98245614034</v>
      </c>
      <c r="AO26" s="45">
        <f t="shared" si="19"/>
        <v>114</v>
      </c>
      <c r="AP26" s="45">
        <f t="shared" si="19"/>
        <v>80754292</v>
      </c>
      <c r="AQ26" s="45">
        <f t="shared" si="15"/>
        <v>706422.671875</v>
      </c>
      <c r="AR26" s="45">
        <v>64</v>
      </c>
      <c r="AS26" s="45">
        <v>45211051</v>
      </c>
      <c r="AT26" s="45">
        <f t="shared" si="16"/>
        <v>710864.82</v>
      </c>
      <c r="AU26" s="45">
        <v>50</v>
      </c>
      <c r="AV26" s="46">
        <v>35543241</v>
      </c>
    </row>
    <row r="27" spans="1:48" ht="24" customHeight="1">
      <c r="A27" s="151"/>
      <c r="B27" s="155"/>
      <c r="C27" s="44" t="s">
        <v>92</v>
      </c>
      <c r="D27" s="45">
        <f t="shared" si="0"/>
        <v>1047171.8088235294</v>
      </c>
      <c r="E27" s="45">
        <f t="shared" si="17"/>
        <v>136</v>
      </c>
      <c r="F27" s="45">
        <f t="shared" si="17"/>
        <v>142415366</v>
      </c>
      <c r="G27" s="45">
        <f t="shared" si="6"/>
        <v>1043799.8913043478</v>
      </c>
      <c r="H27" s="45">
        <v>92</v>
      </c>
      <c r="I27" s="45">
        <v>96029590</v>
      </c>
      <c r="J27" s="45">
        <f t="shared" si="2"/>
        <v>1054222.1818181819</v>
      </c>
      <c r="K27" s="45">
        <v>44</v>
      </c>
      <c r="L27" s="46">
        <v>46385776</v>
      </c>
      <c r="M27" s="151"/>
      <c r="N27" s="155"/>
      <c r="O27" s="44" t="s">
        <v>92</v>
      </c>
      <c r="P27" s="45">
        <f t="shared" si="7"/>
        <v>20257.835544205624</v>
      </c>
      <c r="Q27" s="45">
        <v>3524.25</v>
      </c>
      <c r="R27" s="45">
        <f t="shared" si="8"/>
        <v>856724123</v>
      </c>
      <c r="S27" s="45">
        <f t="shared" si="9"/>
        <v>22943.620881697734</v>
      </c>
      <c r="T27" s="45">
        <v>1421.5</v>
      </c>
      <c r="U27" s="45">
        <v>391372285</v>
      </c>
      <c r="V27" s="81">
        <f t="shared" si="10"/>
        <v>18442.192287876987</v>
      </c>
      <c r="W27" s="45">
        <v>2102.75</v>
      </c>
      <c r="X27" s="46">
        <v>465351838</v>
      </c>
      <c r="Y27" s="151"/>
      <c r="Z27" s="155"/>
      <c r="AA27" s="44" t="s">
        <v>92</v>
      </c>
      <c r="AB27" s="45">
        <f t="shared" si="11"/>
        <v>143547.16</v>
      </c>
      <c r="AC27" s="45">
        <f t="shared" si="18"/>
        <v>25</v>
      </c>
      <c r="AD27" s="45">
        <f t="shared" si="18"/>
        <v>3588679</v>
      </c>
      <c r="AE27" s="45">
        <f t="shared" si="12"/>
        <v>182873.84615384616</v>
      </c>
      <c r="AF27" s="45">
        <v>13</v>
      </c>
      <c r="AG27" s="45">
        <v>2377360</v>
      </c>
      <c r="AH27" s="45">
        <f>AJ27/AI27</f>
        <v>100943.25</v>
      </c>
      <c r="AI27" s="45">
        <v>12</v>
      </c>
      <c r="AJ27" s="46">
        <v>1211319</v>
      </c>
      <c r="AK27" s="151"/>
      <c r="AL27" s="155"/>
      <c r="AM27" s="44" t="s">
        <v>92</v>
      </c>
      <c r="AN27" s="45">
        <f t="shared" si="14"/>
        <v>886034.5384615385</v>
      </c>
      <c r="AO27" s="45">
        <f t="shared" si="19"/>
        <v>13</v>
      </c>
      <c r="AP27" s="45">
        <f t="shared" si="19"/>
        <v>11518449</v>
      </c>
      <c r="AQ27" s="45">
        <f t="shared" si="15"/>
        <v>691797.375</v>
      </c>
      <c r="AR27" s="45">
        <v>8</v>
      </c>
      <c r="AS27" s="45">
        <v>5534379</v>
      </c>
      <c r="AT27" s="45">
        <f t="shared" si="16"/>
        <v>1196814</v>
      </c>
      <c r="AU27" s="45">
        <v>5</v>
      </c>
      <c r="AV27" s="46">
        <v>5984070</v>
      </c>
    </row>
    <row r="28" spans="1:48" ht="24" customHeight="1">
      <c r="A28" s="152"/>
      <c r="B28" s="156"/>
      <c r="C28" s="44" t="s">
        <v>93</v>
      </c>
      <c r="D28" s="45">
        <f t="shared" si="0"/>
        <v>996934.625</v>
      </c>
      <c r="E28" s="45">
        <f t="shared" si="17"/>
        <v>16</v>
      </c>
      <c r="F28" s="45">
        <f t="shared" si="17"/>
        <v>15950954</v>
      </c>
      <c r="G28" s="45">
        <f t="shared" si="6"/>
        <v>746978.75</v>
      </c>
      <c r="H28" s="45">
        <v>8</v>
      </c>
      <c r="I28" s="45">
        <v>5975830</v>
      </c>
      <c r="J28" s="45">
        <f t="shared" si="2"/>
        <v>1246890.5</v>
      </c>
      <c r="K28" s="45">
        <v>8</v>
      </c>
      <c r="L28" s="46">
        <v>9975124</v>
      </c>
      <c r="M28" s="152"/>
      <c r="N28" s="156"/>
      <c r="O28" s="44" t="s">
        <v>93</v>
      </c>
      <c r="P28" s="45">
        <f t="shared" si="7"/>
        <v>18123.782111183598</v>
      </c>
      <c r="Q28" s="45">
        <v>567.16999999999996</v>
      </c>
      <c r="R28" s="45">
        <f t="shared" si="8"/>
        <v>123351186</v>
      </c>
      <c r="S28" s="45">
        <f t="shared" si="9"/>
        <v>19804.967381831233</v>
      </c>
      <c r="T28" s="45">
        <v>260.08</v>
      </c>
      <c r="U28" s="45">
        <v>61810511</v>
      </c>
      <c r="V28" s="81">
        <f t="shared" si="10"/>
        <v>16700.500141114153</v>
      </c>
      <c r="W28" s="45">
        <v>307.08</v>
      </c>
      <c r="X28" s="46">
        <v>61540675</v>
      </c>
      <c r="Y28" s="152"/>
      <c r="Z28" s="156"/>
      <c r="AA28" s="44" t="s">
        <v>93</v>
      </c>
      <c r="AB28" s="45">
        <f t="shared" si="11"/>
        <v>90646.6</v>
      </c>
      <c r="AC28" s="45">
        <f t="shared" si="18"/>
        <v>5</v>
      </c>
      <c r="AD28" s="45">
        <f t="shared" si="18"/>
        <v>453233</v>
      </c>
      <c r="AE28" s="45">
        <f t="shared" si="12"/>
        <v>111899.25</v>
      </c>
      <c r="AF28" s="45">
        <v>4</v>
      </c>
      <c r="AG28" s="45">
        <v>447597</v>
      </c>
      <c r="AH28" s="45">
        <f>AJ28/AI28</f>
        <v>5636</v>
      </c>
      <c r="AI28" s="45">
        <v>1</v>
      </c>
      <c r="AJ28" s="46">
        <v>5636</v>
      </c>
      <c r="AK28" s="152"/>
      <c r="AL28" s="156"/>
      <c r="AM28" s="44" t="s">
        <v>93</v>
      </c>
      <c r="AN28" s="45">
        <f t="shared" si="14"/>
        <v>188223</v>
      </c>
      <c r="AO28" s="45">
        <f t="shared" si="19"/>
        <v>2</v>
      </c>
      <c r="AP28" s="45">
        <f t="shared" si="19"/>
        <v>376446</v>
      </c>
      <c r="AQ28" s="45">
        <f t="shared" si="15"/>
        <v>188223</v>
      </c>
      <c r="AR28" s="45">
        <v>2</v>
      </c>
      <c r="AS28" s="45">
        <v>376446</v>
      </c>
      <c r="AT28" s="45">
        <v>0</v>
      </c>
      <c r="AU28" s="45">
        <v>0</v>
      </c>
      <c r="AV28" s="46">
        <v>0</v>
      </c>
    </row>
    <row r="29" spans="1:48" ht="28.9" customHeight="1">
      <c r="A29" s="157" t="s">
        <v>147</v>
      </c>
      <c r="B29" s="161" t="s">
        <v>63</v>
      </c>
      <c r="C29" s="41" t="s">
        <v>76</v>
      </c>
      <c r="D29" s="42">
        <f t="shared" si="0"/>
        <v>1369895.5010511563</v>
      </c>
      <c r="E29" s="42">
        <f>SUM(E30:E38)</f>
        <v>62788</v>
      </c>
      <c r="F29" s="42">
        <f>SUM(F30:F38)</f>
        <v>86012998720</v>
      </c>
      <c r="G29" s="42">
        <f t="shared" si="6"/>
        <v>1389068.9226634086</v>
      </c>
      <c r="H29" s="42">
        <f>SUM(H30:H38)</f>
        <v>32740</v>
      </c>
      <c r="I29" s="42">
        <f>SUM(I30:I38)</f>
        <v>45478116528</v>
      </c>
      <c r="J29" s="42">
        <f t="shared" si="2"/>
        <v>1349004.3328008519</v>
      </c>
      <c r="K29" s="42">
        <f>SUM(K30:K38)</f>
        <v>30048</v>
      </c>
      <c r="L29" s="43">
        <f>SUM(L30:L38)</f>
        <v>40534882192</v>
      </c>
      <c r="M29" s="157" t="s">
        <v>146</v>
      </c>
      <c r="N29" s="161" t="s">
        <v>63</v>
      </c>
      <c r="O29" s="41" t="s">
        <v>76</v>
      </c>
      <c r="P29" s="42">
        <f>R29/Q29/12</f>
        <v>18175.35431594462</v>
      </c>
      <c r="Q29" s="42">
        <v>1550185.67</v>
      </c>
      <c r="R29" s="42">
        <f>SUM(R30:R38)</f>
        <v>338102085693</v>
      </c>
      <c r="S29" s="42">
        <f>U29/T29/12</f>
        <v>19456.013621989441</v>
      </c>
      <c r="T29" s="42">
        <v>713902.33</v>
      </c>
      <c r="U29" s="42">
        <f>SUM(U30:U38)</f>
        <v>166676321487</v>
      </c>
      <c r="V29" s="42">
        <f>X29/W29/12</f>
        <v>17082.105834275091</v>
      </c>
      <c r="W29" s="42">
        <v>836283.33</v>
      </c>
      <c r="X29" s="43">
        <f>SUM(X30:X38)</f>
        <v>171425764206</v>
      </c>
      <c r="Y29" s="157" t="s">
        <v>185</v>
      </c>
      <c r="Z29" s="161" t="s">
        <v>63</v>
      </c>
      <c r="AA29" s="41" t="s">
        <v>76</v>
      </c>
      <c r="AB29" s="42">
        <f t="shared" si="11"/>
        <v>86192.752598521489</v>
      </c>
      <c r="AC29" s="42">
        <f>SUM(AC30:AC38)</f>
        <v>17991</v>
      </c>
      <c r="AD29" s="42">
        <f>SUM(AD30:AD38)</f>
        <v>1550693812</v>
      </c>
      <c r="AE29" s="42">
        <f t="shared" si="12"/>
        <v>93951.343969496287</v>
      </c>
      <c r="AF29" s="42">
        <f>SUM(AF30:AF38)</f>
        <v>9966</v>
      </c>
      <c r="AG29" s="42">
        <f>SUM(AG30:AG38)</f>
        <v>936319094</v>
      </c>
      <c r="AH29" s="42">
        <f t="shared" si="13"/>
        <v>76557.597258566981</v>
      </c>
      <c r="AI29" s="42">
        <f>SUM(AI30:AI38)</f>
        <v>8025</v>
      </c>
      <c r="AJ29" s="43">
        <f>SUM(AJ30:AJ38)</f>
        <v>614374718</v>
      </c>
      <c r="AK29" s="157" t="s">
        <v>151</v>
      </c>
      <c r="AL29" s="161" t="s">
        <v>63</v>
      </c>
      <c r="AM29" s="41" t="s">
        <v>76</v>
      </c>
      <c r="AN29" s="42">
        <f t="shared" si="14"/>
        <v>747903.28077165026</v>
      </c>
      <c r="AO29" s="42">
        <f>SUM(AO30:AO38)</f>
        <v>4769</v>
      </c>
      <c r="AP29" s="42">
        <f>SUM(AP30:AP38)</f>
        <v>3566750746</v>
      </c>
      <c r="AQ29" s="42">
        <f t="shared" si="15"/>
        <v>779605.87134308508</v>
      </c>
      <c r="AR29" s="42">
        <f>SUM(AR30:AR38)</f>
        <v>3008</v>
      </c>
      <c r="AS29" s="42">
        <f>SUM(AS30:AS38)</f>
        <v>2345054461</v>
      </c>
      <c r="AT29" s="42">
        <f t="shared" si="16"/>
        <v>693751.43952299829</v>
      </c>
      <c r="AU29" s="42">
        <f>SUM(AU30:AU38)</f>
        <v>1761</v>
      </c>
      <c r="AV29" s="43">
        <f>SUM(AV30:AV38)</f>
        <v>1221696285</v>
      </c>
    </row>
    <row r="30" spans="1:48" ht="28.9" customHeight="1">
      <c r="A30" s="158"/>
      <c r="B30" s="162"/>
      <c r="C30" s="44" t="s">
        <v>136</v>
      </c>
      <c r="D30" s="45">
        <v>0</v>
      </c>
      <c r="E30" s="45">
        <f t="shared" ref="E30:F38" si="20">H30+K30</f>
        <v>0</v>
      </c>
      <c r="F30" s="45">
        <f t="shared" si="20"/>
        <v>0</v>
      </c>
      <c r="G30" s="45">
        <v>0</v>
      </c>
      <c r="H30" s="45">
        <v>0</v>
      </c>
      <c r="I30" s="45">
        <v>0</v>
      </c>
      <c r="J30" s="45">
        <v>0</v>
      </c>
      <c r="K30" s="45">
        <v>0</v>
      </c>
      <c r="L30" s="46">
        <v>0</v>
      </c>
      <c r="M30" s="158"/>
      <c r="N30" s="162"/>
      <c r="O30" s="44" t="s">
        <v>136</v>
      </c>
      <c r="P30" s="45">
        <v>0</v>
      </c>
      <c r="Q30" s="45">
        <v>0</v>
      </c>
      <c r="R30" s="45">
        <v>0</v>
      </c>
      <c r="S30" s="45">
        <v>0</v>
      </c>
      <c r="T30" s="45">
        <v>0</v>
      </c>
      <c r="U30" s="45">
        <v>0</v>
      </c>
      <c r="V30" s="45">
        <v>0</v>
      </c>
      <c r="W30" s="45">
        <v>0</v>
      </c>
      <c r="X30" s="46">
        <v>0</v>
      </c>
      <c r="Y30" s="158"/>
      <c r="Z30" s="162"/>
      <c r="AA30" s="44" t="s">
        <v>136</v>
      </c>
      <c r="AB30" s="45">
        <v>0</v>
      </c>
      <c r="AC30" s="45">
        <f t="shared" ref="AC30:AD38" si="21">AF30+AI30</f>
        <v>0</v>
      </c>
      <c r="AD30" s="45">
        <f t="shared" si="21"/>
        <v>0</v>
      </c>
      <c r="AE30" s="45">
        <v>0</v>
      </c>
      <c r="AF30" s="45">
        <v>0</v>
      </c>
      <c r="AG30" s="45">
        <v>0</v>
      </c>
      <c r="AH30" s="45">
        <v>0</v>
      </c>
      <c r="AI30" s="45">
        <v>0</v>
      </c>
      <c r="AJ30" s="46">
        <v>0</v>
      </c>
      <c r="AK30" s="158"/>
      <c r="AL30" s="162"/>
      <c r="AM30" s="44" t="s">
        <v>136</v>
      </c>
      <c r="AN30" s="45">
        <v>0</v>
      </c>
      <c r="AO30" s="45">
        <f t="shared" ref="AO30:AP38" si="22">AR30+AU30</f>
        <v>0</v>
      </c>
      <c r="AP30" s="45">
        <f t="shared" si="22"/>
        <v>0</v>
      </c>
      <c r="AQ30" s="45">
        <v>0</v>
      </c>
      <c r="AR30" s="45">
        <v>0</v>
      </c>
      <c r="AS30" s="45">
        <v>0</v>
      </c>
      <c r="AT30" s="45">
        <v>0</v>
      </c>
      <c r="AU30" s="45">
        <v>0</v>
      </c>
      <c r="AV30" s="46">
        <v>0</v>
      </c>
    </row>
    <row r="31" spans="1:48" ht="28.9" customHeight="1">
      <c r="A31" s="158"/>
      <c r="B31" s="162"/>
      <c r="C31" s="44" t="s">
        <v>112</v>
      </c>
      <c r="D31" s="45">
        <v>0</v>
      </c>
      <c r="E31" s="45">
        <f t="shared" si="20"/>
        <v>0</v>
      </c>
      <c r="F31" s="45">
        <f t="shared" si="20"/>
        <v>0</v>
      </c>
      <c r="G31" s="45">
        <v>0</v>
      </c>
      <c r="H31" s="45">
        <v>0</v>
      </c>
      <c r="I31" s="45">
        <v>0</v>
      </c>
      <c r="J31" s="45">
        <v>0</v>
      </c>
      <c r="K31" s="45">
        <v>0</v>
      </c>
      <c r="L31" s="46">
        <v>0</v>
      </c>
      <c r="M31" s="158"/>
      <c r="N31" s="162"/>
      <c r="O31" s="44" t="s">
        <v>112</v>
      </c>
      <c r="P31" s="45">
        <v>0</v>
      </c>
      <c r="Q31" s="45">
        <v>0</v>
      </c>
      <c r="R31" s="45">
        <v>0</v>
      </c>
      <c r="S31" s="45">
        <v>0</v>
      </c>
      <c r="T31" s="45">
        <v>0</v>
      </c>
      <c r="U31" s="45">
        <v>0</v>
      </c>
      <c r="V31" s="45">
        <v>0</v>
      </c>
      <c r="W31" s="45">
        <v>0</v>
      </c>
      <c r="X31" s="46">
        <v>0</v>
      </c>
      <c r="Y31" s="158"/>
      <c r="Z31" s="162"/>
      <c r="AA31" s="44" t="s">
        <v>112</v>
      </c>
      <c r="AB31" s="45">
        <v>0</v>
      </c>
      <c r="AC31" s="45">
        <f t="shared" si="21"/>
        <v>0</v>
      </c>
      <c r="AD31" s="45">
        <f t="shared" si="21"/>
        <v>0</v>
      </c>
      <c r="AE31" s="45">
        <v>0</v>
      </c>
      <c r="AF31" s="45">
        <v>0</v>
      </c>
      <c r="AG31" s="45">
        <v>0</v>
      </c>
      <c r="AH31" s="45">
        <v>0</v>
      </c>
      <c r="AI31" s="45">
        <v>0</v>
      </c>
      <c r="AJ31" s="46">
        <v>0</v>
      </c>
      <c r="AK31" s="158"/>
      <c r="AL31" s="162"/>
      <c r="AM31" s="44" t="s">
        <v>112</v>
      </c>
      <c r="AN31" s="45">
        <v>0</v>
      </c>
      <c r="AO31" s="45">
        <f t="shared" si="22"/>
        <v>0</v>
      </c>
      <c r="AP31" s="45">
        <f t="shared" si="22"/>
        <v>0</v>
      </c>
      <c r="AQ31" s="45">
        <v>0</v>
      </c>
      <c r="AR31" s="45">
        <v>0</v>
      </c>
      <c r="AS31" s="45">
        <v>0</v>
      </c>
      <c r="AT31" s="45">
        <v>0</v>
      </c>
      <c r="AU31" s="45">
        <v>0</v>
      </c>
      <c r="AV31" s="46">
        <v>0</v>
      </c>
    </row>
    <row r="32" spans="1:48" ht="28.9" customHeight="1">
      <c r="A32" s="158"/>
      <c r="B32" s="162"/>
      <c r="C32" s="44" t="s">
        <v>113</v>
      </c>
      <c r="D32" s="45">
        <f t="shared" si="0"/>
        <v>1396243.4641509433</v>
      </c>
      <c r="E32" s="45">
        <f t="shared" si="20"/>
        <v>265</v>
      </c>
      <c r="F32" s="45">
        <f t="shared" si="20"/>
        <v>370004518</v>
      </c>
      <c r="G32" s="45">
        <f t="shared" si="6"/>
        <v>1375381.1354166667</v>
      </c>
      <c r="H32" s="45">
        <v>96</v>
      </c>
      <c r="I32" s="45">
        <v>132036589</v>
      </c>
      <c r="J32" s="45">
        <f t="shared" si="2"/>
        <v>1408094.2544378699</v>
      </c>
      <c r="K32" s="45">
        <v>169</v>
      </c>
      <c r="L32" s="46">
        <v>237967929</v>
      </c>
      <c r="M32" s="158"/>
      <c r="N32" s="162"/>
      <c r="O32" s="44" t="s">
        <v>113</v>
      </c>
      <c r="P32" s="45">
        <v>0</v>
      </c>
      <c r="Q32" s="45">
        <v>0</v>
      </c>
      <c r="R32" s="45">
        <v>0</v>
      </c>
      <c r="S32" s="45">
        <v>0</v>
      </c>
      <c r="T32" s="45">
        <v>0</v>
      </c>
      <c r="U32" s="45">
        <v>0</v>
      </c>
      <c r="V32" s="45">
        <v>0</v>
      </c>
      <c r="W32" s="45">
        <v>0</v>
      </c>
      <c r="X32" s="46">
        <v>0</v>
      </c>
      <c r="Y32" s="158"/>
      <c r="Z32" s="162"/>
      <c r="AA32" s="44" t="s">
        <v>113</v>
      </c>
      <c r="AB32" s="45">
        <v>0</v>
      </c>
      <c r="AC32" s="45">
        <f t="shared" si="21"/>
        <v>0</v>
      </c>
      <c r="AD32" s="45">
        <f t="shared" si="21"/>
        <v>0</v>
      </c>
      <c r="AE32" s="45">
        <v>0</v>
      </c>
      <c r="AF32" s="45">
        <v>0</v>
      </c>
      <c r="AG32" s="45">
        <v>0</v>
      </c>
      <c r="AH32" s="45">
        <v>0</v>
      </c>
      <c r="AI32" s="45">
        <v>0</v>
      </c>
      <c r="AJ32" s="46">
        <v>0</v>
      </c>
      <c r="AK32" s="158"/>
      <c r="AL32" s="162"/>
      <c r="AM32" s="44" t="s">
        <v>113</v>
      </c>
      <c r="AN32" s="45">
        <v>0</v>
      </c>
      <c r="AO32" s="45">
        <f t="shared" si="22"/>
        <v>0</v>
      </c>
      <c r="AP32" s="45">
        <f t="shared" si="22"/>
        <v>0</v>
      </c>
      <c r="AQ32" s="45">
        <v>0</v>
      </c>
      <c r="AR32" s="45">
        <v>0</v>
      </c>
      <c r="AS32" s="45">
        <v>0</v>
      </c>
      <c r="AT32" s="45">
        <v>0</v>
      </c>
      <c r="AU32" s="45">
        <v>0</v>
      </c>
      <c r="AV32" s="46">
        <v>0</v>
      </c>
    </row>
    <row r="33" spans="1:48" ht="28.9" customHeight="1">
      <c r="A33" s="158"/>
      <c r="B33" s="162"/>
      <c r="C33" s="44" t="s">
        <v>114</v>
      </c>
      <c r="D33" s="45">
        <f t="shared" si="0"/>
        <v>1664329.0880458124</v>
      </c>
      <c r="E33" s="45">
        <f t="shared" si="20"/>
        <v>2794</v>
      </c>
      <c r="F33" s="45">
        <f t="shared" si="20"/>
        <v>4650135472</v>
      </c>
      <c r="G33" s="45">
        <f t="shared" si="6"/>
        <v>1642230.6432561851</v>
      </c>
      <c r="H33" s="45">
        <v>1253</v>
      </c>
      <c r="I33" s="45">
        <v>2057714996</v>
      </c>
      <c r="J33" s="45">
        <f t="shared" si="2"/>
        <v>1682297.518494484</v>
      </c>
      <c r="K33" s="45">
        <v>1541</v>
      </c>
      <c r="L33" s="46">
        <v>2592420476</v>
      </c>
      <c r="M33" s="158"/>
      <c r="N33" s="162"/>
      <c r="O33" s="44" t="s">
        <v>114</v>
      </c>
      <c r="P33" s="45">
        <v>0</v>
      </c>
      <c r="Q33" s="45">
        <v>0</v>
      </c>
      <c r="R33" s="45">
        <v>0</v>
      </c>
      <c r="S33" s="45">
        <v>0</v>
      </c>
      <c r="T33" s="45">
        <v>0</v>
      </c>
      <c r="U33" s="45">
        <v>0</v>
      </c>
      <c r="V33" s="45">
        <v>0</v>
      </c>
      <c r="W33" s="45">
        <v>0</v>
      </c>
      <c r="X33" s="46">
        <v>0</v>
      </c>
      <c r="Y33" s="158"/>
      <c r="Z33" s="162"/>
      <c r="AA33" s="44" t="s">
        <v>114</v>
      </c>
      <c r="AB33" s="45">
        <v>0</v>
      </c>
      <c r="AC33" s="45">
        <f t="shared" si="21"/>
        <v>0</v>
      </c>
      <c r="AD33" s="45">
        <f t="shared" si="21"/>
        <v>0</v>
      </c>
      <c r="AE33" s="45">
        <v>0</v>
      </c>
      <c r="AF33" s="45">
        <v>0</v>
      </c>
      <c r="AG33" s="45">
        <v>0</v>
      </c>
      <c r="AH33" s="45">
        <v>0</v>
      </c>
      <c r="AI33" s="45">
        <v>0</v>
      </c>
      <c r="AJ33" s="46">
        <v>0</v>
      </c>
      <c r="AK33" s="158"/>
      <c r="AL33" s="162"/>
      <c r="AM33" s="44" t="s">
        <v>114</v>
      </c>
      <c r="AN33" s="45">
        <v>0</v>
      </c>
      <c r="AO33" s="45">
        <f t="shared" si="22"/>
        <v>0</v>
      </c>
      <c r="AP33" s="45">
        <f t="shared" si="22"/>
        <v>0</v>
      </c>
      <c r="AQ33" s="45">
        <v>0</v>
      </c>
      <c r="AR33" s="45">
        <v>0</v>
      </c>
      <c r="AS33" s="45">
        <v>0</v>
      </c>
      <c r="AT33" s="45">
        <v>0</v>
      </c>
      <c r="AU33" s="45">
        <v>0</v>
      </c>
      <c r="AV33" s="46">
        <v>0</v>
      </c>
    </row>
    <row r="34" spans="1:48" ht="28.9" customHeight="1">
      <c r="A34" s="158"/>
      <c r="B34" s="162"/>
      <c r="C34" s="44" t="s">
        <v>115</v>
      </c>
      <c r="D34" s="45">
        <f t="shared" si="0"/>
        <v>1612660.7604780549</v>
      </c>
      <c r="E34" s="45">
        <f t="shared" si="20"/>
        <v>24265</v>
      </c>
      <c r="F34" s="45">
        <f t="shared" si="20"/>
        <v>39131213353</v>
      </c>
      <c r="G34" s="45">
        <f t="shared" si="6"/>
        <v>1634723.2229723956</v>
      </c>
      <c r="H34" s="45">
        <v>11701</v>
      </c>
      <c r="I34" s="45">
        <v>19127896432</v>
      </c>
      <c r="J34" s="45">
        <f t="shared" si="2"/>
        <v>1592113.7313753581</v>
      </c>
      <c r="K34" s="45">
        <v>12564</v>
      </c>
      <c r="L34" s="46">
        <v>20003316921</v>
      </c>
      <c r="M34" s="158"/>
      <c r="N34" s="162"/>
      <c r="O34" s="44" t="s">
        <v>115</v>
      </c>
      <c r="P34" s="45">
        <v>0</v>
      </c>
      <c r="Q34" s="45">
        <v>0</v>
      </c>
      <c r="R34" s="45">
        <v>0</v>
      </c>
      <c r="S34" s="45">
        <v>0</v>
      </c>
      <c r="T34" s="45">
        <v>0</v>
      </c>
      <c r="U34" s="45">
        <v>0</v>
      </c>
      <c r="V34" s="45">
        <v>0</v>
      </c>
      <c r="W34" s="45">
        <v>0</v>
      </c>
      <c r="X34" s="46">
        <v>0</v>
      </c>
      <c r="Y34" s="158"/>
      <c r="Z34" s="162"/>
      <c r="AA34" s="44" t="s">
        <v>115</v>
      </c>
      <c r="AB34" s="45">
        <v>0</v>
      </c>
      <c r="AC34" s="45">
        <f t="shared" si="21"/>
        <v>0</v>
      </c>
      <c r="AD34" s="45">
        <f t="shared" si="21"/>
        <v>0</v>
      </c>
      <c r="AE34" s="45">
        <v>0</v>
      </c>
      <c r="AF34" s="45">
        <v>0</v>
      </c>
      <c r="AG34" s="45">
        <v>0</v>
      </c>
      <c r="AH34" s="45">
        <v>0</v>
      </c>
      <c r="AI34" s="45">
        <v>0</v>
      </c>
      <c r="AJ34" s="46">
        <v>0</v>
      </c>
      <c r="AK34" s="158"/>
      <c r="AL34" s="162"/>
      <c r="AM34" s="44" t="s">
        <v>115</v>
      </c>
      <c r="AN34" s="45">
        <v>0</v>
      </c>
      <c r="AO34" s="45">
        <f t="shared" si="22"/>
        <v>0</v>
      </c>
      <c r="AP34" s="45">
        <f t="shared" si="22"/>
        <v>0</v>
      </c>
      <c r="AQ34" s="45">
        <v>0</v>
      </c>
      <c r="AR34" s="45">
        <v>0</v>
      </c>
      <c r="AS34" s="45">
        <v>0</v>
      </c>
      <c r="AT34" s="45">
        <v>0</v>
      </c>
      <c r="AU34" s="45">
        <v>0</v>
      </c>
      <c r="AV34" s="46">
        <v>0</v>
      </c>
    </row>
    <row r="35" spans="1:48" ht="28.9" customHeight="1">
      <c r="A35" s="158"/>
      <c r="B35" s="162"/>
      <c r="C35" s="44" t="s">
        <v>116</v>
      </c>
      <c r="D35" s="45">
        <f t="shared" si="0"/>
        <v>1321563.2641852454</v>
      </c>
      <c r="E35" s="45">
        <f t="shared" si="20"/>
        <v>20902</v>
      </c>
      <c r="F35" s="45">
        <f t="shared" si="20"/>
        <v>27623315348</v>
      </c>
      <c r="G35" s="45">
        <f t="shared" si="6"/>
        <v>1420883.8479139863</v>
      </c>
      <c r="H35" s="45">
        <v>10882</v>
      </c>
      <c r="I35" s="45">
        <v>15462058033</v>
      </c>
      <c r="J35" s="45">
        <f t="shared" si="2"/>
        <v>1213698.3348303393</v>
      </c>
      <c r="K35" s="45">
        <v>10020</v>
      </c>
      <c r="L35" s="46">
        <v>12161257315</v>
      </c>
      <c r="M35" s="158"/>
      <c r="N35" s="162"/>
      <c r="O35" s="44" t="s">
        <v>116</v>
      </c>
      <c r="P35" s="45">
        <v>0</v>
      </c>
      <c r="Q35" s="45">
        <v>0</v>
      </c>
      <c r="R35" s="45">
        <f t="shared" ref="R35:R38" si="23">U35+X35</f>
        <v>0</v>
      </c>
      <c r="S35" s="45">
        <v>0</v>
      </c>
      <c r="T35" s="45">
        <v>0</v>
      </c>
      <c r="U35" s="45">
        <v>0</v>
      </c>
      <c r="V35" s="45">
        <v>0</v>
      </c>
      <c r="W35" s="45"/>
      <c r="X35" s="46"/>
      <c r="Y35" s="158"/>
      <c r="Z35" s="162"/>
      <c r="AA35" s="44" t="s">
        <v>116</v>
      </c>
      <c r="AB35" s="45">
        <v>0</v>
      </c>
      <c r="AC35" s="45">
        <f t="shared" si="21"/>
        <v>0</v>
      </c>
      <c r="AD35" s="45">
        <f t="shared" si="21"/>
        <v>0</v>
      </c>
      <c r="AE35" s="45">
        <v>0</v>
      </c>
      <c r="AF35" s="45">
        <v>0</v>
      </c>
      <c r="AG35" s="45">
        <v>0</v>
      </c>
      <c r="AH35" s="45">
        <v>0</v>
      </c>
      <c r="AI35" s="45">
        <v>0</v>
      </c>
      <c r="AJ35" s="46">
        <v>0</v>
      </c>
      <c r="AK35" s="158"/>
      <c r="AL35" s="162"/>
      <c r="AM35" s="44" t="s">
        <v>116</v>
      </c>
      <c r="AN35" s="45">
        <v>0</v>
      </c>
      <c r="AO35" s="45">
        <f>AR35+AU35</f>
        <v>0</v>
      </c>
      <c r="AP35" s="45">
        <f t="shared" si="22"/>
        <v>0</v>
      </c>
      <c r="AQ35" s="45">
        <v>0</v>
      </c>
      <c r="AR35" s="45">
        <v>0</v>
      </c>
      <c r="AS35" s="45">
        <v>0</v>
      </c>
      <c r="AT35" s="45">
        <v>0</v>
      </c>
      <c r="AU35" s="45">
        <v>0</v>
      </c>
      <c r="AV35" s="46">
        <v>0</v>
      </c>
    </row>
    <row r="36" spans="1:48" ht="28.9" customHeight="1">
      <c r="A36" s="158"/>
      <c r="B36" s="162"/>
      <c r="C36" s="44" t="s">
        <v>117</v>
      </c>
      <c r="D36" s="45">
        <f t="shared" si="0"/>
        <v>1077270.7908229611</v>
      </c>
      <c r="E36" s="45">
        <f t="shared" si="20"/>
        <v>10766</v>
      </c>
      <c r="F36" s="45">
        <f t="shared" si="20"/>
        <v>11597897334</v>
      </c>
      <c r="G36" s="45">
        <f t="shared" si="6"/>
        <v>1093514.7720247295</v>
      </c>
      <c r="H36" s="45">
        <v>6470</v>
      </c>
      <c r="I36" s="45">
        <v>7075040575</v>
      </c>
      <c r="J36" s="45">
        <f t="shared" si="2"/>
        <v>1052806.5081471135</v>
      </c>
      <c r="K36" s="45">
        <v>4296</v>
      </c>
      <c r="L36" s="46">
        <v>4522856759</v>
      </c>
      <c r="M36" s="158"/>
      <c r="N36" s="162"/>
      <c r="O36" s="44" t="s">
        <v>117</v>
      </c>
      <c r="P36" s="45">
        <f t="shared" ref="P36:P38" si="24">R36/Q36/12</f>
        <v>17634.320683629532</v>
      </c>
      <c r="Q36" s="45">
        <v>464543.42</v>
      </c>
      <c r="R36" s="45">
        <f t="shared" si="23"/>
        <v>98302891677</v>
      </c>
      <c r="S36" s="45">
        <f t="shared" ref="S36:S38" si="25">U36/T36/12</f>
        <v>18207.336080450314</v>
      </c>
      <c r="T36" s="45">
        <v>204910.58</v>
      </c>
      <c r="U36" s="45">
        <v>44770509558</v>
      </c>
      <c r="V36" s="45">
        <f t="shared" ref="V36:V38" si="26">X36/W36/12</f>
        <v>17182.079181781442</v>
      </c>
      <c r="W36" s="45">
        <v>259632.83</v>
      </c>
      <c r="X36" s="46">
        <v>53532382119</v>
      </c>
      <c r="Y36" s="158"/>
      <c r="Z36" s="162"/>
      <c r="AA36" s="44" t="s">
        <v>117</v>
      </c>
      <c r="AB36" s="45">
        <f t="shared" si="11"/>
        <v>106844.06575997609</v>
      </c>
      <c r="AC36" s="45">
        <f t="shared" si="21"/>
        <v>6691</v>
      </c>
      <c r="AD36" s="45">
        <f t="shared" si="21"/>
        <v>714893644</v>
      </c>
      <c r="AE36" s="45">
        <f t="shared" si="12"/>
        <v>112744.89863963723</v>
      </c>
      <c r="AF36" s="45">
        <v>3749</v>
      </c>
      <c r="AG36" s="45">
        <v>422680625</v>
      </c>
      <c r="AH36" s="45">
        <f t="shared" si="13"/>
        <v>99324.615567641056</v>
      </c>
      <c r="AI36" s="45">
        <v>2942</v>
      </c>
      <c r="AJ36" s="46">
        <v>292213019</v>
      </c>
      <c r="AK36" s="158"/>
      <c r="AL36" s="162"/>
      <c r="AM36" s="44" t="s">
        <v>117</v>
      </c>
      <c r="AN36" s="45">
        <f t="shared" si="14"/>
        <v>1029706.5051229508</v>
      </c>
      <c r="AO36" s="45">
        <f t="shared" si="22"/>
        <v>1952</v>
      </c>
      <c r="AP36" s="45">
        <f t="shared" si="22"/>
        <v>2009987098</v>
      </c>
      <c r="AQ36" s="45">
        <f t="shared" si="15"/>
        <v>1064125.2819455895</v>
      </c>
      <c r="AR36" s="45">
        <v>1213</v>
      </c>
      <c r="AS36" s="45">
        <v>1290783967</v>
      </c>
      <c r="AT36" s="45">
        <f t="shared" si="16"/>
        <v>973211.27334235457</v>
      </c>
      <c r="AU36" s="45">
        <v>739</v>
      </c>
      <c r="AV36" s="46">
        <v>719203131</v>
      </c>
    </row>
    <row r="37" spans="1:48" ht="28.9" customHeight="1">
      <c r="A37" s="159"/>
      <c r="B37" s="163"/>
      <c r="C37" s="44" t="s">
        <v>118</v>
      </c>
      <c r="D37" s="45">
        <f t="shared" si="0"/>
        <v>700242.49943246308</v>
      </c>
      <c r="E37" s="45">
        <f t="shared" si="20"/>
        <v>3524</v>
      </c>
      <c r="F37" s="45">
        <f t="shared" si="20"/>
        <v>2467654568</v>
      </c>
      <c r="G37" s="45">
        <f t="shared" si="6"/>
        <v>699145.52646111371</v>
      </c>
      <c r="H37" s="45">
        <v>2173</v>
      </c>
      <c r="I37" s="45">
        <v>1519243229</v>
      </c>
      <c r="J37" s="45">
        <f t="shared" si="2"/>
        <v>702006.91265729093</v>
      </c>
      <c r="K37" s="45">
        <v>1351</v>
      </c>
      <c r="L37" s="46">
        <v>948411339</v>
      </c>
      <c r="M37" s="159"/>
      <c r="N37" s="163"/>
      <c r="O37" s="44" t="s">
        <v>118</v>
      </c>
      <c r="P37" s="45">
        <f t="shared" si="24"/>
        <v>18665.726942522615</v>
      </c>
      <c r="Q37" s="45">
        <v>650948.92000000004</v>
      </c>
      <c r="R37" s="45">
        <f t="shared" si="23"/>
        <v>145805217531</v>
      </c>
      <c r="S37" s="45">
        <f t="shared" si="25"/>
        <v>20212.65259739917</v>
      </c>
      <c r="T37" s="45">
        <v>306174.67</v>
      </c>
      <c r="U37" s="45">
        <v>74263226866</v>
      </c>
      <c r="V37" s="45">
        <f t="shared" si="26"/>
        <v>17291.989049114505</v>
      </c>
      <c r="W37" s="45">
        <v>344774.25</v>
      </c>
      <c r="X37" s="46">
        <v>71541990665</v>
      </c>
      <c r="Y37" s="159"/>
      <c r="Z37" s="163"/>
      <c r="AA37" s="44" t="s">
        <v>118</v>
      </c>
      <c r="AB37" s="45">
        <f t="shared" si="11"/>
        <v>78400.558861578262</v>
      </c>
      <c r="AC37" s="45">
        <f t="shared" si="21"/>
        <v>9276</v>
      </c>
      <c r="AD37" s="45">
        <f t="shared" si="21"/>
        <v>727243584</v>
      </c>
      <c r="AE37" s="45">
        <f t="shared" si="12"/>
        <v>87980.318154937908</v>
      </c>
      <c r="AF37" s="45">
        <v>5073</v>
      </c>
      <c r="AG37" s="45">
        <v>446324154</v>
      </c>
      <c r="AH37" s="45">
        <f t="shared" si="13"/>
        <v>66837.837259100648</v>
      </c>
      <c r="AI37" s="45">
        <v>4203</v>
      </c>
      <c r="AJ37" s="46">
        <v>280919430</v>
      </c>
      <c r="AK37" s="159"/>
      <c r="AL37" s="163"/>
      <c r="AM37" s="44" t="s">
        <v>118</v>
      </c>
      <c r="AN37" s="45">
        <f t="shared" si="14"/>
        <v>606520.65405864851</v>
      </c>
      <c r="AO37" s="45">
        <f t="shared" si="22"/>
        <v>2353</v>
      </c>
      <c r="AP37" s="45">
        <f t="shared" si="22"/>
        <v>1427143099</v>
      </c>
      <c r="AQ37" s="45">
        <f t="shared" si="15"/>
        <v>641709.32934926962</v>
      </c>
      <c r="AR37" s="45">
        <v>1506</v>
      </c>
      <c r="AS37" s="45">
        <v>966414250</v>
      </c>
      <c r="AT37" s="45">
        <f t="shared" si="16"/>
        <v>543953.77685950417</v>
      </c>
      <c r="AU37" s="45">
        <v>847</v>
      </c>
      <c r="AV37" s="46">
        <v>460728849</v>
      </c>
    </row>
    <row r="38" spans="1:48" ht="28.9" customHeight="1" thickBot="1">
      <c r="A38" s="160"/>
      <c r="B38" s="164"/>
      <c r="C38" s="47" t="s">
        <v>94</v>
      </c>
      <c r="D38" s="48">
        <f t="shared" si="0"/>
        <v>635213.70220588241</v>
      </c>
      <c r="E38" s="48">
        <f t="shared" si="20"/>
        <v>272</v>
      </c>
      <c r="F38" s="48">
        <f t="shared" si="20"/>
        <v>172778127</v>
      </c>
      <c r="G38" s="48">
        <f t="shared" si="6"/>
        <v>631070.75151515147</v>
      </c>
      <c r="H38" s="48">
        <v>165</v>
      </c>
      <c r="I38" s="48">
        <v>104126674</v>
      </c>
      <c r="J38" s="48">
        <f t="shared" si="2"/>
        <v>641602.36448598129</v>
      </c>
      <c r="K38" s="48">
        <v>107</v>
      </c>
      <c r="L38" s="49">
        <v>68651453</v>
      </c>
      <c r="M38" s="160"/>
      <c r="N38" s="164"/>
      <c r="O38" s="47" t="s">
        <v>94</v>
      </c>
      <c r="P38" s="48">
        <f t="shared" si="24"/>
        <v>18019.212242686124</v>
      </c>
      <c r="Q38" s="48">
        <v>434693.33</v>
      </c>
      <c r="R38" s="48">
        <f t="shared" si="23"/>
        <v>93993976485</v>
      </c>
      <c r="S38" s="48">
        <f t="shared" si="25"/>
        <v>19575.350468099958</v>
      </c>
      <c r="T38" s="48">
        <v>202817.08</v>
      </c>
      <c r="U38" s="48">
        <v>47642585063</v>
      </c>
      <c r="V38" s="48">
        <f t="shared" si="26"/>
        <v>16658.092201479598</v>
      </c>
      <c r="W38" s="48">
        <v>231876.25</v>
      </c>
      <c r="X38" s="49">
        <v>46351391422</v>
      </c>
      <c r="Y38" s="160"/>
      <c r="Z38" s="164"/>
      <c r="AA38" s="47" t="s">
        <v>94</v>
      </c>
      <c r="AB38" s="48">
        <f t="shared" si="11"/>
        <v>53634.675889328064</v>
      </c>
      <c r="AC38" s="48">
        <f t="shared" si="21"/>
        <v>2024</v>
      </c>
      <c r="AD38" s="48">
        <f t="shared" si="21"/>
        <v>108556584</v>
      </c>
      <c r="AE38" s="48">
        <f t="shared" si="12"/>
        <v>58841.184440559438</v>
      </c>
      <c r="AF38" s="48">
        <v>1144</v>
      </c>
      <c r="AG38" s="48">
        <v>67314315</v>
      </c>
      <c r="AH38" s="48">
        <f t="shared" si="13"/>
        <v>46866.214772727275</v>
      </c>
      <c r="AI38" s="48">
        <v>880</v>
      </c>
      <c r="AJ38" s="49">
        <v>41242269</v>
      </c>
      <c r="AK38" s="160"/>
      <c r="AL38" s="164"/>
      <c r="AM38" s="47" t="s">
        <v>94</v>
      </c>
      <c r="AN38" s="48">
        <f t="shared" si="14"/>
        <v>279354.63146551722</v>
      </c>
      <c r="AO38" s="48">
        <f t="shared" si="22"/>
        <v>464</v>
      </c>
      <c r="AP38" s="48">
        <f t="shared" si="22"/>
        <v>129620549</v>
      </c>
      <c r="AQ38" s="48">
        <f t="shared" si="15"/>
        <v>304000.84429065743</v>
      </c>
      <c r="AR38" s="48">
        <v>289</v>
      </c>
      <c r="AS38" s="48">
        <v>87856244</v>
      </c>
      <c r="AT38" s="48">
        <f t="shared" si="16"/>
        <v>238653.17142857143</v>
      </c>
      <c r="AU38" s="48">
        <v>175</v>
      </c>
      <c r="AV38" s="49">
        <v>41764305</v>
      </c>
    </row>
    <row r="39" spans="1:48" s="77" customFormat="1" ht="190.15" customHeight="1">
      <c r="A39" s="132" t="s">
        <v>201</v>
      </c>
      <c r="B39" s="132"/>
      <c r="C39" s="132"/>
      <c r="D39" s="132"/>
      <c r="E39" s="132"/>
      <c r="F39" s="132"/>
      <c r="G39" s="132"/>
      <c r="H39" s="132"/>
      <c r="I39" s="132"/>
      <c r="J39" s="132"/>
      <c r="K39" s="132"/>
      <c r="L39" s="132"/>
      <c r="M39" s="132" t="s">
        <v>200</v>
      </c>
      <c r="N39" s="132"/>
      <c r="O39" s="132"/>
      <c r="P39" s="132"/>
      <c r="Q39" s="132"/>
      <c r="R39" s="132"/>
      <c r="S39" s="132"/>
      <c r="T39" s="132"/>
      <c r="U39" s="132"/>
      <c r="V39" s="132"/>
      <c r="W39" s="132"/>
      <c r="X39" s="132"/>
      <c r="Y39" s="132" t="s">
        <v>202</v>
      </c>
      <c r="Z39" s="132"/>
      <c r="AA39" s="132"/>
      <c r="AB39" s="132"/>
      <c r="AC39" s="132"/>
      <c r="AD39" s="132"/>
      <c r="AE39" s="132"/>
      <c r="AF39" s="132"/>
      <c r="AG39" s="132"/>
      <c r="AH39" s="132"/>
      <c r="AI39" s="132"/>
      <c r="AJ39" s="132"/>
      <c r="AK39" s="132" t="s">
        <v>203</v>
      </c>
      <c r="AL39" s="132"/>
      <c r="AM39" s="132"/>
      <c r="AN39" s="132"/>
      <c r="AO39" s="132"/>
      <c r="AP39" s="132"/>
      <c r="AQ39" s="132"/>
      <c r="AR39" s="132"/>
      <c r="AS39" s="132"/>
      <c r="AT39" s="132"/>
      <c r="AU39" s="132"/>
      <c r="AV39" s="132"/>
    </row>
  </sheetData>
  <mergeCells count="48">
    <mergeCell ref="AK29:AK38"/>
    <mergeCell ref="AL29:AL38"/>
    <mergeCell ref="A39:L39"/>
    <mergeCell ref="M39:X39"/>
    <mergeCell ref="Y39:AJ39"/>
    <mergeCell ref="AK39:AV39"/>
    <mergeCell ref="A29:A38"/>
    <mergeCell ref="B29:B38"/>
    <mergeCell ref="M29:M38"/>
    <mergeCell ref="N29:N38"/>
    <mergeCell ref="Y29:Y38"/>
    <mergeCell ref="Z29:Z38"/>
    <mergeCell ref="Z6:Z28"/>
    <mergeCell ref="AK6:AK28"/>
    <mergeCell ref="AL6:AL28"/>
    <mergeCell ref="D4:F4"/>
    <mergeCell ref="G4:I4"/>
    <mergeCell ref="J4:L4"/>
    <mergeCell ref="P4:R4"/>
    <mergeCell ref="S4:U4"/>
    <mergeCell ref="V4:X4"/>
    <mergeCell ref="Z3:AA5"/>
    <mergeCell ref="A6:A28"/>
    <mergeCell ref="B6:B28"/>
    <mergeCell ref="M6:M28"/>
    <mergeCell ref="N6:N28"/>
    <mergeCell ref="Y6:Y28"/>
    <mergeCell ref="AQ4:AS4"/>
    <mergeCell ref="A1:L1"/>
    <mergeCell ref="M1:X1"/>
    <mergeCell ref="Y1:AJ1"/>
    <mergeCell ref="AK1:AV1"/>
    <mergeCell ref="A3:A5"/>
    <mergeCell ref="B3:C5"/>
    <mergeCell ref="D3:L3"/>
    <mergeCell ref="M3:M5"/>
    <mergeCell ref="N3:O5"/>
    <mergeCell ref="P3:X3"/>
    <mergeCell ref="AN3:AV3"/>
    <mergeCell ref="AB4:AD4"/>
    <mergeCell ref="AT4:AV4"/>
    <mergeCell ref="AE4:AG4"/>
    <mergeCell ref="AH4:AJ4"/>
    <mergeCell ref="AN4:AP4"/>
    <mergeCell ref="Y3:Y5"/>
    <mergeCell ref="AB3:AJ3"/>
    <mergeCell ref="AK3:AK5"/>
    <mergeCell ref="AL3:AM5"/>
  </mergeCells>
  <phoneticPr fontId="14" type="noConversion"/>
  <printOptions horizontalCentered="1"/>
  <pageMargins left="0.15748031496062992" right="0.15748031496062992" top="0.59055118110236227" bottom="0.59055118110236227" header="0.51181102362204722" footer="0.31496062992125984"/>
  <pageSetup paperSize="9" orientation="portrait" r:id="rId1"/>
  <headerFooter alignWithMargins="0"/>
  <rowBreaks count="1" manualBreakCount="1">
    <brk id="28" max="16383" man="1"/>
  </rowBreaks>
  <colBreaks count="3" manualBreakCount="3">
    <brk id="24" max="1048575" man="1"/>
    <brk id="36" max="1048575" man="1"/>
    <brk id="12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V39"/>
  <sheetViews>
    <sheetView view="pageBreakPreview" zoomScale="80" zoomScaleNormal="90" zoomScaleSheetLayoutView="80" workbookViewId="0">
      <selection activeCell="A2" sqref="A2"/>
    </sheetView>
  </sheetViews>
  <sheetFormatPr defaultColWidth="9" defaultRowHeight="16.5"/>
  <cols>
    <col min="1" max="1" width="5.625" style="54" customWidth="1"/>
    <col min="2" max="2" width="3.5" style="54" customWidth="1"/>
    <col min="3" max="3" width="9.5" style="55" customWidth="1"/>
    <col min="4" max="4" width="8.25" style="53" customWidth="1"/>
    <col min="5" max="5" width="6.375" style="53" customWidth="1"/>
    <col min="6" max="6" width="12.75" style="53" customWidth="1"/>
    <col min="7" max="7" width="8.25" style="53" customWidth="1"/>
    <col min="8" max="8" width="6.25" style="53" customWidth="1"/>
    <col min="9" max="9" width="12" style="53" customWidth="1"/>
    <col min="10" max="10" width="8.25" style="53" customWidth="1"/>
    <col min="11" max="11" width="6.25" style="53" customWidth="1"/>
    <col min="12" max="12" width="12" style="53" customWidth="1"/>
    <col min="13" max="13" width="5.625" style="53" customWidth="1"/>
    <col min="14" max="14" width="3.5" style="53" customWidth="1"/>
    <col min="15" max="15" width="9.375" style="56" customWidth="1"/>
    <col min="16" max="16" width="6.75" style="53" customWidth="1"/>
    <col min="17" max="17" width="8" style="53" customWidth="1"/>
    <col min="18" max="18" width="12.5" style="53" customWidth="1"/>
    <col min="19" max="19" width="6.75" style="53" customWidth="1"/>
    <col min="20" max="20" width="7.375" style="53" customWidth="1"/>
    <col min="21" max="21" width="12.5" style="53" customWidth="1"/>
    <col min="22" max="22" width="6.75" style="53" customWidth="1"/>
    <col min="23" max="23" width="7.375" style="53" customWidth="1"/>
    <col min="24" max="24" width="12.5" style="53" customWidth="1"/>
    <col min="25" max="25" width="6.625" style="53" customWidth="1"/>
    <col min="26" max="26" width="4.625" style="53" customWidth="1"/>
    <col min="27" max="27" width="9.375" style="56" customWidth="1"/>
    <col min="28" max="28" width="7.5" style="53" customWidth="1"/>
    <col min="29" max="29" width="7.25" style="53" customWidth="1"/>
    <col min="30" max="30" width="10.75" style="53" customWidth="1"/>
    <col min="31" max="31" width="7.5" style="53" customWidth="1"/>
    <col min="32" max="32" width="7.25" style="53" customWidth="1"/>
    <col min="33" max="33" width="10.75" style="53" customWidth="1"/>
    <col min="34" max="34" width="7.5" style="53" customWidth="1"/>
    <col min="35" max="35" width="7.25" style="53" customWidth="1"/>
    <col min="36" max="36" width="10.75" style="53" customWidth="1"/>
    <col min="37" max="37" width="6.625" style="53" customWidth="1"/>
    <col min="38" max="38" width="4.625" style="53" customWidth="1"/>
    <col min="39" max="39" width="9.375" style="56" customWidth="1"/>
    <col min="40" max="40" width="8.5" style="53" customWidth="1"/>
    <col min="41" max="41" width="6.75" style="53" customWidth="1"/>
    <col min="42" max="42" width="10.75" style="53" customWidth="1"/>
    <col min="43" max="43" width="8.5" style="53" customWidth="1"/>
    <col min="44" max="44" width="6.75" style="53" customWidth="1"/>
    <col min="45" max="45" width="10.75" style="53" customWidth="1"/>
    <col min="46" max="46" width="8.5" style="53" customWidth="1"/>
    <col min="47" max="47" width="6.75" style="53" customWidth="1"/>
    <col min="48" max="48" width="10.75" style="53" customWidth="1"/>
    <col min="49" max="16384" width="9" style="53"/>
  </cols>
  <sheetData>
    <row r="1" spans="1:48" ht="24" customHeight="1">
      <c r="A1" s="112" t="s">
        <v>121</v>
      </c>
      <c r="B1" s="113"/>
      <c r="C1" s="113"/>
      <c r="D1" s="113"/>
      <c r="E1" s="113"/>
      <c r="F1" s="113"/>
      <c r="G1" s="113"/>
      <c r="H1" s="113"/>
      <c r="I1" s="113"/>
      <c r="J1" s="113"/>
      <c r="K1" s="113"/>
      <c r="L1" s="113"/>
      <c r="M1" s="112" t="s">
        <v>119</v>
      </c>
      <c r="N1" s="113"/>
      <c r="O1" s="113"/>
      <c r="P1" s="113"/>
      <c r="Q1" s="113"/>
      <c r="R1" s="113"/>
      <c r="S1" s="113"/>
      <c r="T1" s="113"/>
      <c r="U1" s="113"/>
      <c r="V1" s="113"/>
      <c r="W1" s="113"/>
      <c r="X1" s="113"/>
      <c r="Y1" s="112" t="s">
        <v>123</v>
      </c>
      <c r="Z1" s="113"/>
      <c r="AA1" s="113"/>
      <c r="AB1" s="113"/>
      <c r="AC1" s="113"/>
      <c r="AD1" s="113"/>
      <c r="AE1" s="113"/>
      <c r="AF1" s="113"/>
      <c r="AG1" s="113"/>
      <c r="AH1" s="113"/>
      <c r="AI1" s="113"/>
      <c r="AJ1" s="113"/>
      <c r="AK1" s="112" t="s">
        <v>122</v>
      </c>
      <c r="AL1" s="113"/>
      <c r="AM1" s="113"/>
      <c r="AN1" s="113"/>
      <c r="AO1" s="113"/>
      <c r="AP1" s="113"/>
      <c r="AQ1" s="113"/>
      <c r="AR1" s="113"/>
      <c r="AS1" s="113"/>
      <c r="AT1" s="113"/>
      <c r="AU1" s="113"/>
      <c r="AV1" s="113"/>
    </row>
    <row r="2" spans="1:48" ht="18" customHeight="1" thickBot="1">
      <c r="AM2" s="57"/>
      <c r="AN2" s="58"/>
      <c r="AO2" s="58"/>
    </row>
    <row r="3" spans="1:48" s="90" customFormat="1" ht="27" customHeight="1">
      <c r="A3" s="100" t="s">
        <v>62</v>
      </c>
      <c r="B3" s="106" t="s">
        <v>173</v>
      </c>
      <c r="C3" s="107"/>
      <c r="D3" s="102" t="s">
        <v>197</v>
      </c>
      <c r="E3" s="102"/>
      <c r="F3" s="103"/>
      <c r="G3" s="103"/>
      <c r="H3" s="103"/>
      <c r="I3" s="103"/>
      <c r="J3" s="103"/>
      <c r="K3" s="104"/>
      <c r="L3" s="105"/>
      <c r="M3" s="100" t="s">
        <v>62</v>
      </c>
      <c r="N3" s="106" t="s">
        <v>173</v>
      </c>
      <c r="O3" s="107"/>
      <c r="P3" s="102" t="str">
        <f>D3</f>
        <v>110年</v>
      </c>
      <c r="Q3" s="102"/>
      <c r="R3" s="103"/>
      <c r="S3" s="103"/>
      <c r="T3" s="103"/>
      <c r="U3" s="103"/>
      <c r="V3" s="103"/>
      <c r="W3" s="104"/>
      <c r="X3" s="105"/>
      <c r="Y3" s="100" t="s">
        <v>62</v>
      </c>
      <c r="Z3" s="106" t="s">
        <v>173</v>
      </c>
      <c r="AA3" s="107"/>
      <c r="AB3" s="102" t="str">
        <f>D3</f>
        <v>110年</v>
      </c>
      <c r="AC3" s="102"/>
      <c r="AD3" s="103"/>
      <c r="AE3" s="103"/>
      <c r="AF3" s="103"/>
      <c r="AG3" s="103"/>
      <c r="AH3" s="103"/>
      <c r="AI3" s="104"/>
      <c r="AJ3" s="105"/>
      <c r="AK3" s="100" t="s">
        <v>62</v>
      </c>
      <c r="AL3" s="106" t="s">
        <v>173</v>
      </c>
      <c r="AM3" s="107"/>
      <c r="AN3" s="102" t="str">
        <f>D3</f>
        <v>110年</v>
      </c>
      <c r="AO3" s="102"/>
      <c r="AP3" s="103"/>
      <c r="AQ3" s="103"/>
      <c r="AR3" s="103"/>
      <c r="AS3" s="103"/>
      <c r="AT3" s="103"/>
      <c r="AU3" s="104"/>
      <c r="AV3" s="105"/>
    </row>
    <row r="4" spans="1:48" s="90" customFormat="1" ht="27" customHeight="1">
      <c r="A4" s="101"/>
      <c r="B4" s="108"/>
      <c r="C4" s="109"/>
      <c r="D4" s="99" t="s">
        <v>12</v>
      </c>
      <c r="E4" s="99"/>
      <c r="F4" s="99"/>
      <c r="G4" s="99" t="s">
        <v>13</v>
      </c>
      <c r="H4" s="99"/>
      <c r="I4" s="99"/>
      <c r="J4" s="99" t="s">
        <v>176</v>
      </c>
      <c r="K4" s="114"/>
      <c r="L4" s="115"/>
      <c r="M4" s="101"/>
      <c r="N4" s="108"/>
      <c r="O4" s="109"/>
      <c r="P4" s="99" t="s">
        <v>12</v>
      </c>
      <c r="Q4" s="99"/>
      <c r="R4" s="99"/>
      <c r="S4" s="99" t="s">
        <v>13</v>
      </c>
      <c r="T4" s="99"/>
      <c r="U4" s="99"/>
      <c r="V4" s="99" t="s">
        <v>176</v>
      </c>
      <c r="W4" s="114"/>
      <c r="X4" s="115"/>
      <c r="Y4" s="101"/>
      <c r="Z4" s="108"/>
      <c r="AA4" s="109"/>
      <c r="AB4" s="99" t="s">
        <v>12</v>
      </c>
      <c r="AC4" s="99"/>
      <c r="AD4" s="99"/>
      <c r="AE4" s="99" t="s">
        <v>13</v>
      </c>
      <c r="AF4" s="99"/>
      <c r="AG4" s="99"/>
      <c r="AH4" s="99" t="s">
        <v>176</v>
      </c>
      <c r="AI4" s="114"/>
      <c r="AJ4" s="115"/>
      <c r="AK4" s="101"/>
      <c r="AL4" s="108"/>
      <c r="AM4" s="109"/>
      <c r="AN4" s="99" t="s">
        <v>12</v>
      </c>
      <c r="AO4" s="99"/>
      <c r="AP4" s="99"/>
      <c r="AQ4" s="99" t="s">
        <v>13</v>
      </c>
      <c r="AR4" s="99"/>
      <c r="AS4" s="99"/>
      <c r="AT4" s="99" t="s">
        <v>176</v>
      </c>
      <c r="AU4" s="114"/>
      <c r="AV4" s="115"/>
    </row>
    <row r="5" spans="1:48" ht="49.5">
      <c r="A5" s="101"/>
      <c r="B5" s="110"/>
      <c r="C5" s="111"/>
      <c r="D5" s="60" t="s">
        <v>177</v>
      </c>
      <c r="E5" s="91" t="s">
        <v>15</v>
      </c>
      <c r="F5" s="91" t="s">
        <v>16</v>
      </c>
      <c r="G5" s="60" t="s">
        <v>177</v>
      </c>
      <c r="H5" s="91" t="s">
        <v>15</v>
      </c>
      <c r="I5" s="91" t="s">
        <v>16</v>
      </c>
      <c r="J5" s="60" t="s">
        <v>177</v>
      </c>
      <c r="K5" s="91" t="s">
        <v>15</v>
      </c>
      <c r="L5" s="92" t="s">
        <v>16</v>
      </c>
      <c r="M5" s="101"/>
      <c r="N5" s="110"/>
      <c r="O5" s="111"/>
      <c r="P5" s="60" t="s">
        <v>167</v>
      </c>
      <c r="Q5" s="60" t="s">
        <v>181</v>
      </c>
      <c r="R5" s="91" t="s">
        <v>16</v>
      </c>
      <c r="S5" s="60" t="s">
        <v>167</v>
      </c>
      <c r="T5" s="60" t="s">
        <v>181</v>
      </c>
      <c r="U5" s="91" t="s">
        <v>16</v>
      </c>
      <c r="V5" s="60" t="s">
        <v>167</v>
      </c>
      <c r="W5" s="60" t="s">
        <v>181</v>
      </c>
      <c r="X5" s="92" t="s">
        <v>16</v>
      </c>
      <c r="Y5" s="101"/>
      <c r="Z5" s="110"/>
      <c r="AA5" s="111"/>
      <c r="AB5" s="60" t="s">
        <v>177</v>
      </c>
      <c r="AC5" s="91" t="s">
        <v>15</v>
      </c>
      <c r="AD5" s="91" t="s">
        <v>16</v>
      </c>
      <c r="AE5" s="60" t="s">
        <v>177</v>
      </c>
      <c r="AF5" s="91" t="s">
        <v>15</v>
      </c>
      <c r="AG5" s="91" t="s">
        <v>16</v>
      </c>
      <c r="AH5" s="60" t="s">
        <v>177</v>
      </c>
      <c r="AI5" s="91" t="s">
        <v>15</v>
      </c>
      <c r="AJ5" s="92" t="s">
        <v>16</v>
      </c>
      <c r="AK5" s="101"/>
      <c r="AL5" s="110"/>
      <c r="AM5" s="111"/>
      <c r="AN5" s="60" t="s">
        <v>177</v>
      </c>
      <c r="AO5" s="91" t="s">
        <v>15</v>
      </c>
      <c r="AP5" s="91" t="s">
        <v>16</v>
      </c>
      <c r="AQ5" s="60" t="s">
        <v>177</v>
      </c>
      <c r="AR5" s="91" t="s">
        <v>15</v>
      </c>
      <c r="AS5" s="91" t="s">
        <v>16</v>
      </c>
      <c r="AT5" s="60" t="s">
        <v>177</v>
      </c>
      <c r="AU5" s="91" t="s">
        <v>15</v>
      </c>
      <c r="AV5" s="92" t="s">
        <v>16</v>
      </c>
    </row>
    <row r="6" spans="1:48" ht="24" customHeight="1">
      <c r="A6" s="116" t="s">
        <v>182</v>
      </c>
      <c r="B6" s="120" t="s">
        <v>17</v>
      </c>
      <c r="C6" s="63" t="s">
        <v>76</v>
      </c>
      <c r="D6" s="64">
        <f t="shared" ref="D6:D38" si="0">F6/E6</f>
        <v>1386723.910723849</v>
      </c>
      <c r="E6" s="64">
        <f>SUM(E7:E28)</f>
        <v>69089</v>
      </c>
      <c r="F6" s="64">
        <f>SUM(F7:F28)</f>
        <v>95807368268</v>
      </c>
      <c r="G6" s="64">
        <f>I6/H6</f>
        <v>1406730.302057683</v>
      </c>
      <c r="H6" s="64">
        <f t="shared" ref="H6:L6" si="1">SUM(H7:H28)</f>
        <v>35331</v>
      </c>
      <c r="I6" s="64">
        <f t="shared" si="1"/>
        <v>49701188302</v>
      </c>
      <c r="J6" s="64">
        <f t="shared" ref="J6:J38" si="2">L6/K6</f>
        <v>1365785.2943302328</v>
      </c>
      <c r="K6" s="64">
        <f t="shared" ref="K6" si="3">SUM(K7:K28)</f>
        <v>33758</v>
      </c>
      <c r="L6" s="65">
        <f t="shared" si="1"/>
        <v>46106179966</v>
      </c>
      <c r="M6" s="116" t="s">
        <v>184</v>
      </c>
      <c r="N6" s="120" t="s">
        <v>17</v>
      </c>
      <c r="O6" s="63" t="s">
        <v>76</v>
      </c>
      <c r="P6" s="64">
        <f>R6/Q6/12</f>
        <v>17785.370713357443</v>
      </c>
      <c r="Q6" s="64">
        <v>1453499.33</v>
      </c>
      <c r="R6" s="64">
        <f>U6+X6</f>
        <v>310212292988</v>
      </c>
      <c r="S6" s="64">
        <f>U6/T6/12</f>
        <v>19010.459671098586</v>
      </c>
      <c r="T6" s="64">
        <v>668559</v>
      </c>
      <c r="U6" s="64">
        <f>SUM(U7:U28)+(0)</f>
        <v>152515366887</v>
      </c>
      <c r="V6" s="66">
        <f>X6/W6/12</f>
        <v>16741.922928608685</v>
      </c>
      <c r="W6" s="64">
        <v>784940.33</v>
      </c>
      <c r="X6" s="65">
        <f>SUM(X7:X28)+(0)</f>
        <v>157696926101</v>
      </c>
      <c r="Y6" s="116" t="s">
        <v>185</v>
      </c>
      <c r="Z6" s="120" t="s">
        <v>17</v>
      </c>
      <c r="AA6" s="63" t="s">
        <v>76</v>
      </c>
      <c r="AB6" s="64">
        <f>AD6/AC6</f>
        <v>108451.36921448019</v>
      </c>
      <c r="AC6" s="64">
        <f>AF6+AI6</f>
        <v>19834</v>
      </c>
      <c r="AD6" s="64">
        <f>AG6+AJ6</f>
        <v>2151024457</v>
      </c>
      <c r="AE6" s="64">
        <f>AG6/AF6</f>
        <v>123574.4477066034</v>
      </c>
      <c r="AF6" s="64">
        <f>SUM(AF7:AF28)+(0)</f>
        <v>10116</v>
      </c>
      <c r="AG6" s="64">
        <f>SUM(AG7:AG28)+(0)</f>
        <v>1250079113</v>
      </c>
      <c r="AH6" s="64">
        <f>AJ6/AI6</f>
        <v>92708.926116484872</v>
      </c>
      <c r="AI6" s="64">
        <f>SUM(AI7:AI28)+(2)</f>
        <v>9718</v>
      </c>
      <c r="AJ6" s="65">
        <f>SUM(AJ7:AJ28)+(7511)</f>
        <v>900945344</v>
      </c>
      <c r="AK6" s="116" t="s">
        <v>151</v>
      </c>
      <c r="AL6" s="120" t="s">
        <v>17</v>
      </c>
      <c r="AM6" s="63" t="s">
        <v>76</v>
      </c>
      <c r="AN6" s="64">
        <f>AP6/AO6</f>
        <v>744016.86766885454</v>
      </c>
      <c r="AO6" s="64">
        <f>SUM(AO7:AO28)</f>
        <v>4723</v>
      </c>
      <c r="AP6" s="64">
        <f>SUM(AP7:AP28)</f>
        <v>3513991666</v>
      </c>
      <c r="AQ6" s="64">
        <f>AS6/AR6</f>
        <v>778237.64181137213</v>
      </c>
      <c r="AR6" s="64">
        <f t="shared" ref="AR6:AS6" si="4">SUM(AR7:AR28)</f>
        <v>2937</v>
      </c>
      <c r="AS6" s="64">
        <f t="shared" si="4"/>
        <v>2285683954</v>
      </c>
      <c r="AT6" s="64">
        <f>AV6/AU6</f>
        <v>687742.27995520714</v>
      </c>
      <c r="AU6" s="64">
        <f t="shared" ref="AU6:AV6" si="5">SUM(AU7:AU28)</f>
        <v>1786</v>
      </c>
      <c r="AV6" s="65">
        <f t="shared" si="5"/>
        <v>1228307712</v>
      </c>
    </row>
    <row r="7" spans="1:48" ht="24" customHeight="1">
      <c r="A7" s="117"/>
      <c r="B7" s="121"/>
      <c r="C7" s="63" t="s">
        <v>95</v>
      </c>
      <c r="D7" s="64">
        <f t="shared" si="0"/>
        <v>1441242.7275796004</v>
      </c>
      <c r="E7" s="64">
        <f>H7+K7</f>
        <v>10961</v>
      </c>
      <c r="F7" s="64">
        <f>I7+L7</f>
        <v>15797461537</v>
      </c>
      <c r="G7" s="64">
        <f t="shared" ref="G7:G38" si="6">I7/H7</f>
        <v>1474307.4531763892</v>
      </c>
      <c r="H7" s="64">
        <v>5777</v>
      </c>
      <c r="I7" s="64">
        <v>8517074157</v>
      </c>
      <c r="J7" s="64">
        <f t="shared" si="2"/>
        <v>1404395.7137345679</v>
      </c>
      <c r="K7" s="64">
        <v>5184</v>
      </c>
      <c r="L7" s="65">
        <v>7280387380</v>
      </c>
      <c r="M7" s="117"/>
      <c r="N7" s="121"/>
      <c r="O7" s="63" t="s">
        <v>95</v>
      </c>
      <c r="P7" s="64">
        <f t="shared" ref="P7:P28" si="7">R7/Q7/12</f>
        <v>17801.11649407772</v>
      </c>
      <c r="Q7" s="64">
        <v>215361.42</v>
      </c>
      <c r="R7" s="64">
        <f t="shared" ref="R7:R28" si="8">U7+X7</f>
        <v>46004084709</v>
      </c>
      <c r="S7" s="64">
        <f t="shared" ref="S7:S28" si="9">U7/T7/12</f>
        <v>18741.257272497536</v>
      </c>
      <c r="T7" s="64">
        <v>99032.92</v>
      </c>
      <c r="U7" s="64">
        <v>22272017186</v>
      </c>
      <c r="V7" s="66">
        <f t="shared" ref="V7:V28" si="10">X7/W7/12</f>
        <v>17000.754703991999</v>
      </c>
      <c r="W7" s="64">
        <v>116328.5</v>
      </c>
      <c r="X7" s="65">
        <v>23732067523</v>
      </c>
      <c r="Y7" s="117"/>
      <c r="Z7" s="121"/>
      <c r="AA7" s="63" t="s">
        <v>95</v>
      </c>
      <c r="AB7" s="64">
        <f t="shared" ref="AB7:AB38" si="11">AD7/AC7</f>
        <v>113972.26457082303</v>
      </c>
      <c r="AC7" s="64">
        <f>AF7+AI7</f>
        <v>2831</v>
      </c>
      <c r="AD7" s="64">
        <f>AG7+AJ7</f>
        <v>322655481</v>
      </c>
      <c r="AE7" s="64">
        <f t="shared" ref="AE7:AE38" si="12">AG7/AF7</f>
        <v>128113.32162534435</v>
      </c>
      <c r="AF7" s="64">
        <v>1452</v>
      </c>
      <c r="AG7" s="64">
        <v>186020543</v>
      </c>
      <c r="AH7" s="64">
        <f t="shared" ref="AH7:AH38" si="13">AJ7/AI7</f>
        <v>99082.623640319071</v>
      </c>
      <c r="AI7" s="64">
        <v>1379</v>
      </c>
      <c r="AJ7" s="65">
        <v>136634938</v>
      </c>
      <c r="AK7" s="117"/>
      <c r="AL7" s="121"/>
      <c r="AM7" s="63" t="s">
        <v>95</v>
      </c>
      <c r="AN7" s="64">
        <f t="shared" ref="AN7:AN38" si="14">AP7/AO7</f>
        <v>745561.91690962098</v>
      </c>
      <c r="AO7" s="64">
        <f>AR7+AU7</f>
        <v>686</v>
      </c>
      <c r="AP7" s="64">
        <f>AS7+AV7</f>
        <v>511455475</v>
      </c>
      <c r="AQ7" s="64">
        <f t="shared" ref="AQ7:AQ38" si="15">AS7/AR7</f>
        <v>746609.88558352401</v>
      </c>
      <c r="AR7" s="64">
        <v>437</v>
      </c>
      <c r="AS7" s="64">
        <v>326268520</v>
      </c>
      <c r="AT7" s="64">
        <f t="shared" ref="AT7:AT38" si="16">AV7/AU7</f>
        <v>743722.71084337344</v>
      </c>
      <c r="AU7" s="64">
        <v>249</v>
      </c>
      <c r="AV7" s="65">
        <v>185186955</v>
      </c>
    </row>
    <row r="8" spans="1:48" ht="24" customHeight="1">
      <c r="A8" s="117"/>
      <c r="B8" s="121"/>
      <c r="C8" s="63" t="s">
        <v>96</v>
      </c>
      <c r="D8" s="64">
        <f t="shared" si="0"/>
        <v>1437967.4546667654</v>
      </c>
      <c r="E8" s="64">
        <f t="shared" ref="E8:F28" si="17">H8+K8</f>
        <v>13489</v>
      </c>
      <c r="F8" s="64">
        <f t="shared" si="17"/>
        <v>19396742996</v>
      </c>
      <c r="G8" s="64">
        <f t="shared" si="6"/>
        <v>1448576.2641991065</v>
      </c>
      <c r="H8" s="64">
        <v>6268</v>
      </c>
      <c r="I8" s="64">
        <v>9079676024</v>
      </c>
      <c r="J8" s="64">
        <f t="shared" si="2"/>
        <v>1428758.7552970503</v>
      </c>
      <c r="K8" s="64">
        <v>7221</v>
      </c>
      <c r="L8" s="65">
        <v>10317066972</v>
      </c>
      <c r="M8" s="117"/>
      <c r="N8" s="121"/>
      <c r="O8" s="63" t="s">
        <v>96</v>
      </c>
      <c r="P8" s="64">
        <f t="shared" si="7"/>
        <v>18258.776430417962</v>
      </c>
      <c r="Q8" s="64">
        <v>295551.67</v>
      </c>
      <c r="R8" s="64">
        <f t="shared" si="8"/>
        <v>64756942394</v>
      </c>
      <c r="S8" s="64">
        <f t="shared" si="9"/>
        <v>19273.199951918083</v>
      </c>
      <c r="T8" s="64">
        <v>137959</v>
      </c>
      <c r="U8" s="64">
        <v>31906936706</v>
      </c>
      <c r="V8" s="66">
        <f t="shared" si="10"/>
        <v>17370.734781002186</v>
      </c>
      <c r="W8" s="64">
        <v>157592.67000000001</v>
      </c>
      <c r="X8" s="67">
        <v>32850005688</v>
      </c>
      <c r="Y8" s="117"/>
      <c r="Z8" s="121"/>
      <c r="AA8" s="63" t="s">
        <v>96</v>
      </c>
      <c r="AB8" s="64">
        <f t="shared" si="11"/>
        <v>108089.5466273498</v>
      </c>
      <c r="AC8" s="64">
        <f t="shared" ref="AC8:AD28" si="18">AF8+AI8</f>
        <v>5426</v>
      </c>
      <c r="AD8" s="64">
        <f t="shared" si="18"/>
        <v>586493880</v>
      </c>
      <c r="AE8" s="64">
        <f t="shared" si="12"/>
        <v>118240.65576154126</v>
      </c>
      <c r="AF8" s="64">
        <v>2751</v>
      </c>
      <c r="AG8" s="64">
        <v>325280044</v>
      </c>
      <c r="AH8" s="64">
        <f t="shared" si="13"/>
        <v>97650.032149532708</v>
      </c>
      <c r="AI8" s="64">
        <v>2675</v>
      </c>
      <c r="AJ8" s="65">
        <v>261213836</v>
      </c>
      <c r="AK8" s="117"/>
      <c r="AL8" s="121"/>
      <c r="AM8" s="63" t="s">
        <v>96</v>
      </c>
      <c r="AN8" s="64">
        <f t="shared" si="14"/>
        <v>777029.28664072638</v>
      </c>
      <c r="AO8" s="64">
        <f t="shared" ref="AO8:AP28" si="19">AR8+AU8</f>
        <v>771</v>
      </c>
      <c r="AP8" s="64">
        <f t="shared" si="19"/>
        <v>599089580</v>
      </c>
      <c r="AQ8" s="64">
        <f t="shared" si="15"/>
        <v>797274.86163522012</v>
      </c>
      <c r="AR8" s="64">
        <v>477</v>
      </c>
      <c r="AS8" s="64">
        <v>380300109</v>
      </c>
      <c r="AT8" s="64">
        <f t="shared" si="16"/>
        <v>744181.87414965988</v>
      </c>
      <c r="AU8" s="64">
        <v>294</v>
      </c>
      <c r="AV8" s="65">
        <v>218789471</v>
      </c>
    </row>
    <row r="9" spans="1:48" ht="24" customHeight="1">
      <c r="A9" s="117"/>
      <c r="B9" s="121"/>
      <c r="C9" s="63" t="s">
        <v>101</v>
      </c>
      <c r="D9" s="64">
        <f t="shared" si="0"/>
        <v>1416204.4231709305</v>
      </c>
      <c r="E9" s="64">
        <f t="shared" si="17"/>
        <v>6137</v>
      </c>
      <c r="F9" s="64">
        <f t="shared" si="17"/>
        <v>8691246545</v>
      </c>
      <c r="G9" s="64">
        <f t="shared" si="6"/>
        <v>1449084.2355609313</v>
      </c>
      <c r="H9" s="64">
        <v>3307</v>
      </c>
      <c r="I9" s="64">
        <v>4792121567</v>
      </c>
      <c r="J9" s="64">
        <f t="shared" si="2"/>
        <v>1377782.6777385159</v>
      </c>
      <c r="K9" s="64">
        <v>2830</v>
      </c>
      <c r="L9" s="65">
        <v>3899124978</v>
      </c>
      <c r="M9" s="117"/>
      <c r="N9" s="121"/>
      <c r="O9" s="63" t="s">
        <v>101</v>
      </c>
      <c r="P9" s="64">
        <f t="shared" si="7"/>
        <v>18515.133648965562</v>
      </c>
      <c r="Q9" s="64">
        <v>103760</v>
      </c>
      <c r="R9" s="64">
        <f t="shared" si="8"/>
        <v>23053563209</v>
      </c>
      <c r="S9" s="64">
        <f t="shared" si="9"/>
        <v>20029.841216871158</v>
      </c>
      <c r="T9" s="64">
        <v>53009.83</v>
      </c>
      <c r="U9" s="64">
        <v>12741341734</v>
      </c>
      <c r="V9" s="66">
        <f t="shared" si="10"/>
        <v>16932.983467510225</v>
      </c>
      <c r="W9" s="64">
        <v>50750.17</v>
      </c>
      <c r="X9" s="65">
        <v>10312221475</v>
      </c>
      <c r="Y9" s="117"/>
      <c r="Z9" s="121"/>
      <c r="AA9" s="63" t="s">
        <v>101</v>
      </c>
      <c r="AB9" s="64">
        <f t="shared" si="11"/>
        <v>124296.84163822526</v>
      </c>
      <c r="AC9" s="64">
        <f t="shared" si="18"/>
        <v>1465</v>
      </c>
      <c r="AD9" s="64">
        <f t="shared" si="18"/>
        <v>182094873</v>
      </c>
      <c r="AE9" s="64">
        <f t="shared" si="12"/>
        <v>145432.6478696742</v>
      </c>
      <c r="AF9" s="64">
        <v>798</v>
      </c>
      <c r="AG9" s="64">
        <v>116055253</v>
      </c>
      <c r="AH9" s="64">
        <f t="shared" si="13"/>
        <v>99009.925037481255</v>
      </c>
      <c r="AI9" s="64">
        <v>667</v>
      </c>
      <c r="AJ9" s="65">
        <v>66039620</v>
      </c>
      <c r="AK9" s="117"/>
      <c r="AL9" s="121"/>
      <c r="AM9" s="63" t="s">
        <v>101</v>
      </c>
      <c r="AN9" s="64">
        <f t="shared" si="14"/>
        <v>768842.91025641025</v>
      </c>
      <c r="AO9" s="64">
        <f t="shared" si="19"/>
        <v>312</v>
      </c>
      <c r="AP9" s="64">
        <f t="shared" si="19"/>
        <v>239878988</v>
      </c>
      <c r="AQ9" s="64">
        <f t="shared" si="15"/>
        <v>809587.2888888889</v>
      </c>
      <c r="AR9" s="64">
        <v>225</v>
      </c>
      <c r="AS9" s="64">
        <v>182157140</v>
      </c>
      <c r="AT9" s="64">
        <f t="shared" si="16"/>
        <v>663469.51724137936</v>
      </c>
      <c r="AU9" s="64">
        <v>87</v>
      </c>
      <c r="AV9" s="65">
        <v>57721848</v>
      </c>
    </row>
    <row r="10" spans="1:48" ht="24" customHeight="1">
      <c r="A10" s="117"/>
      <c r="B10" s="121"/>
      <c r="C10" s="63" t="s">
        <v>97</v>
      </c>
      <c r="D10" s="64">
        <f t="shared" si="0"/>
        <v>1320418.5263298941</v>
      </c>
      <c r="E10" s="64">
        <f t="shared" si="17"/>
        <v>7463</v>
      </c>
      <c r="F10" s="64">
        <f t="shared" si="17"/>
        <v>9854283462</v>
      </c>
      <c r="G10" s="64">
        <f t="shared" si="6"/>
        <v>1360449.6149455111</v>
      </c>
      <c r="H10" s="64">
        <v>3854</v>
      </c>
      <c r="I10" s="64">
        <v>5243172816</v>
      </c>
      <c r="J10" s="64">
        <f t="shared" si="2"/>
        <v>1277669.8935993351</v>
      </c>
      <c r="K10" s="64">
        <v>3609</v>
      </c>
      <c r="L10" s="65">
        <v>4611110646</v>
      </c>
      <c r="M10" s="117"/>
      <c r="N10" s="121"/>
      <c r="O10" s="63" t="s">
        <v>97</v>
      </c>
      <c r="P10" s="64">
        <f t="shared" si="7"/>
        <v>16914.197004264985</v>
      </c>
      <c r="Q10" s="64">
        <v>142341.25</v>
      </c>
      <c r="R10" s="64">
        <f t="shared" si="8"/>
        <v>28891055332</v>
      </c>
      <c r="S10" s="64">
        <f t="shared" si="9"/>
        <v>18058.841979755653</v>
      </c>
      <c r="T10" s="64">
        <v>69682</v>
      </c>
      <c r="U10" s="64">
        <v>15100514722</v>
      </c>
      <c r="V10" s="66">
        <f t="shared" si="10"/>
        <v>15816.454443171378</v>
      </c>
      <c r="W10" s="64">
        <v>72659.25</v>
      </c>
      <c r="X10" s="68">
        <v>13790540610</v>
      </c>
      <c r="Y10" s="117"/>
      <c r="Z10" s="121"/>
      <c r="AA10" s="63" t="s">
        <v>97</v>
      </c>
      <c r="AB10" s="64">
        <f t="shared" si="11"/>
        <v>102995.37338403042</v>
      </c>
      <c r="AC10" s="64">
        <f t="shared" si="18"/>
        <v>2630</v>
      </c>
      <c r="AD10" s="64">
        <f t="shared" si="18"/>
        <v>270877832</v>
      </c>
      <c r="AE10" s="64">
        <f t="shared" si="12"/>
        <v>116774.82419233659</v>
      </c>
      <c r="AF10" s="64">
        <v>1331</v>
      </c>
      <c r="AG10" s="64">
        <v>155427291</v>
      </c>
      <c r="AH10" s="64">
        <f t="shared" si="13"/>
        <v>88876.474980754429</v>
      </c>
      <c r="AI10" s="64">
        <v>1299</v>
      </c>
      <c r="AJ10" s="65">
        <v>115450541</v>
      </c>
      <c r="AK10" s="117"/>
      <c r="AL10" s="121"/>
      <c r="AM10" s="63" t="s">
        <v>97</v>
      </c>
      <c r="AN10" s="64">
        <f t="shared" si="14"/>
        <v>731657.39351851854</v>
      </c>
      <c r="AO10" s="64">
        <f t="shared" si="19"/>
        <v>432</v>
      </c>
      <c r="AP10" s="64">
        <f t="shared" si="19"/>
        <v>316075994</v>
      </c>
      <c r="AQ10" s="64">
        <f t="shared" si="15"/>
        <v>767213.23809523811</v>
      </c>
      <c r="AR10" s="64">
        <v>273</v>
      </c>
      <c r="AS10" s="64">
        <v>209449214</v>
      </c>
      <c r="AT10" s="64">
        <f t="shared" si="16"/>
        <v>670608.67924528301</v>
      </c>
      <c r="AU10" s="64">
        <v>159</v>
      </c>
      <c r="AV10" s="65">
        <v>106626780</v>
      </c>
    </row>
    <row r="11" spans="1:48" ht="24" customHeight="1">
      <c r="A11" s="117"/>
      <c r="B11" s="121"/>
      <c r="C11" s="63" t="s">
        <v>191</v>
      </c>
      <c r="D11" s="64">
        <f t="shared" si="0"/>
        <v>1259152.6983729661</v>
      </c>
      <c r="E11" s="64">
        <f t="shared" si="17"/>
        <v>4794</v>
      </c>
      <c r="F11" s="64">
        <f t="shared" si="17"/>
        <v>6036378036</v>
      </c>
      <c r="G11" s="64">
        <f t="shared" si="6"/>
        <v>1300155.7662285941</v>
      </c>
      <c r="H11" s="64">
        <v>2511</v>
      </c>
      <c r="I11" s="64">
        <v>3264691129</v>
      </c>
      <c r="J11" s="64">
        <f t="shared" si="2"/>
        <v>1214054.7117827421</v>
      </c>
      <c r="K11" s="64">
        <v>2283</v>
      </c>
      <c r="L11" s="65">
        <v>2771686907</v>
      </c>
      <c r="M11" s="117"/>
      <c r="N11" s="121"/>
      <c r="O11" s="63" t="s">
        <v>191</v>
      </c>
      <c r="P11" s="64">
        <f t="shared" si="7"/>
        <v>16187.538427685411</v>
      </c>
      <c r="Q11" s="64">
        <v>109159.58</v>
      </c>
      <c r="R11" s="64">
        <f t="shared" si="8"/>
        <v>21204298752</v>
      </c>
      <c r="S11" s="64">
        <f t="shared" si="9"/>
        <v>17582.324536476277</v>
      </c>
      <c r="T11" s="64">
        <v>50832.17</v>
      </c>
      <c r="U11" s="64">
        <v>10724972518</v>
      </c>
      <c r="V11" s="66">
        <f t="shared" si="10"/>
        <v>14971.983779955752</v>
      </c>
      <c r="W11" s="64">
        <v>58327.42</v>
      </c>
      <c r="X11" s="65">
        <v>10479326234</v>
      </c>
      <c r="Y11" s="117"/>
      <c r="Z11" s="121"/>
      <c r="AA11" s="63" t="s">
        <v>191</v>
      </c>
      <c r="AB11" s="64">
        <f t="shared" si="11"/>
        <v>104769.60052049447</v>
      </c>
      <c r="AC11" s="64">
        <f t="shared" si="18"/>
        <v>1537</v>
      </c>
      <c r="AD11" s="64">
        <f t="shared" si="18"/>
        <v>161030876</v>
      </c>
      <c r="AE11" s="64">
        <f t="shared" si="12"/>
        <v>128022.3455978975</v>
      </c>
      <c r="AF11" s="64">
        <v>761</v>
      </c>
      <c r="AG11" s="64">
        <v>97425005</v>
      </c>
      <c r="AH11" s="64">
        <f t="shared" si="13"/>
        <v>81966.328608247422</v>
      </c>
      <c r="AI11" s="64">
        <v>776</v>
      </c>
      <c r="AJ11" s="65">
        <v>63605871</v>
      </c>
      <c r="AK11" s="117"/>
      <c r="AL11" s="121"/>
      <c r="AM11" s="63" t="s">
        <v>191</v>
      </c>
      <c r="AN11" s="64">
        <f t="shared" si="14"/>
        <v>680887.52560646902</v>
      </c>
      <c r="AO11" s="64">
        <f t="shared" si="19"/>
        <v>371</v>
      </c>
      <c r="AP11" s="64">
        <f t="shared" si="19"/>
        <v>252609272</v>
      </c>
      <c r="AQ11" s="64">
        <f t="shared" si="15"/>
        <v>707760.51315789472</v>
      </c>
      <c r="AR11" s="64">
        <v>228</v>
      </c>
      <c r="AS11" s="64">
        <v>161369397</v>
      </c>
      <c r="AT11" s="64">
        <f t="shared" si="16"/>
        <v>638041.08391608391</v>
      </c>
      <c r="AU11" s="64">
        <v>143</v>
      </c>
      <c r="AV11" s="65">
        <v>91239875</v>
      </c>
    </row>
    <row r="12" spans="1:48" ht="24" customHeight="1">
      <c r="A12" s="117"/>
      <c r="B12" s="121"/>
      <c r="C12" s="63" t="s">
        <v>99</v>
      </c>
      <c r="D12" s="64">
        <f t="shared" si="0"/>
        <v>1314852.2033439882</v>
      </c>
      <c r="E12" s="64">
        <f t="shared" si="17"/>
        <v>8134</v>
      </c>
      <c r="F12" s="64">
        <f t="shared" si="17"/>
        <v>10695007822</v>
      </c>
      <c r="G12" s="64">
        <f t="shared" si="6"/>
        <v>1328036.5892643183</v>
      </c>
      <c r="H12" s="64">
        <v>4173</v>
      </c>
      <c r="I12" s="64">
        <v>5541896687</v>
      </c>
      <c r="J12" s="64">
        <f t="shared" si="2"/>
        <v>1300962.1648573591</v>
      </c>
      <c r="K12" s="64">
        <v>3961</v>
      </c>
      <c r="L12" s="65">
        <v>5153111135</v>
      </c>
      <c r="M12" s="117"/>
      <c r="N12" s="121"/>
      <c r="O12" s="63" t="s">
        <v>99</v>
      </c>
      <c r="P12" s="64">
        <f t="shared" si="7"/>
        <v>18190.551050595281</v>
      </c>
      <c r="Q12" s="64">
        <v>190253.25</v>
      </c>
      <c r="R12" s="64">
        <f t="shared" si="8"/>
        <v>41529737480</v>
      </c>
      <c r="S12" s="64">
        <f t="shared" si="9"/>
        <v>20255.83750697018</v>
      </c>
      <c r="T12" s="64">
        <v>86577.17</v>
      </c>
      <c r="U12" s="64">
        <v>21044317048</v>
      </c>
      <c r="V12" s="66">
        <f t="shared" si="10"/>
        <v>16465.884602632865</v>
      </c>
      <c r="W12" s="64">
        <v>103676.08</v>
      </c>
      <c r="X12" s="65">
        <v>20485420432</v>
      </c>
      <c r="Y12" s="117"/>
      <c r="Z12" s="121"/>
      <c r="AA12" s="63" t="s">
        <v>99</v>
      </c>
      <c r="AB12" s="64">
        <f t="shared" si="11"/>
        <v>103973.20500647389</v>
      </c>
      <c r="AC12" s="64">
        <f t="shared" si="18"/>
        <v>2317</v>
      </c>
      <c r="AD12" s="64">
        <f t="shared" si="18"/>
        <v>240905916</v>
      </c>
      <c r="AE12" s="64">
        <f t="shared" si="12"/>
        <v>122011.85579399142</v>
      </c>
      <c r="AF12" s="64">
        <v>1165</v>
      </c>
      <c r="AG12" s="64">
        <v>142143812</v>
      </c>
      <c r="AH12" s="64">
        <f t="shared" si="13"/>
        <v>85730.993055555562</v>
      </c>
      <c r="AI12" s="64">
        <v>1152</v>
      </c>
      <c r="AJ12" s="65">
        <v>98762104</v>
      </c>
      <c r="AK12" s="117"/>
      <c r="AL12" s="121"/>
      <c r="AM12" s="63" t="s">
        <v>99</v>
      </c>
      <c r="AN12" s="64">
        <f t="shared" si="14"/>
        <v>759563.32664756442</v>
      </c>
      <c r="AO12" s="64">
        <f t="shared" si="19"/>
        <v>698</v>
      </c>
      <c r="AP12" s="64">
        <f t="shared" si="19"/>
        <v>530175202</v>
      </c>
      <c r="AQ12" s="64">
        <f t="shared" si="15"/>
        <v>812654.00680272107</v>
      </c>
      <c r="AR12" s="64">
        <v>441</v>
      </c>
      <c r="AS12" s="64">
        <v>358380417</v>
      </c>
      <c r="AT12" s="64">
        <f t="shared" si="16"/>
        <v>668462.19844357972</v>
      </c>
      <c r="AU12" s="64">
        <v>257</v>
      </c>
      <c r="AV12" s="65">
        <v>171794785</v>
      </c>
    </row>
    <row r="13" spans="1:48" ht="24" customHeight="1">
      <c r="A13" s="118"/>
      <c r="B13" s="122"/>
      <c r="C13" s="69" t="s">
        <v>77</v>
      </c>
      <c r="D13" s="70">
        <f t="shared" si="0"/>
        <v>1548212.6573569481</v>
      </c>
      <c r="E13" s="70">
        <f t="shared" si="17"/>
        <v>1468</v>
      </c>
      <c r="F13" s="70">
        <f t="shared" si="17"/>
        <v>2272776181</v>
      </c>
      <c r="G13" s="70">
        <f t="shared" si="6"/>
        <v>1534147.9305555555</v>
      </c>
      <c r="H13" s="70">
        <v>720</v>
      </c>
      <c r="I13" s="70">
        <v>1104586510</v>
      </c>
      <c r="J13" s="70">
        <f t="shared" si="2"/>
        <v>1561750.8970588236</v>
      </c>
      <c r="K13" s="70">
        <v>748</v>
      </c>
      <c r="L13" s="71">
        <v>1168189671</v>
      </c>
      <c r="M13" s="118"/>
      <c r="N13" s="122"/>
      <c r="O13" s="69" t="s">
        <v>77</v>
      </c>
      <c r="P13" s="70">
        <f t="shared" si="7"/>
        <v>19353.099975273304</v>
      </c>
      <c r="Q13" s="70">
        <v>32609.83</v>
      </c>
      <c r="R13" s="70">
        <f t="shared" si="8"/>
        <v>7573215602</v>
      </c>
      <c r="S13" s="70">
        <f t="shared" si="9"/>
        <v>19939.651434262949</v>
      </c>
      <c r="T13" s="70">
        <v>12550</v>
      </c>
      <c r="U13" s="70">
        <v>3002911506</v>
      </c>
      <c r="V13" s="72">
        <f t="shared" si="10"/>
        <v>18986.136705379191</v>
      </c>
      <c r="W13" s="70">
        <v>20059.830000000002</v>
      </c>
      <c r="X13" s="71">
        <v>4570304096</v>
      </c>
      <c r="Y13" s="118"/>
      <c r="Z13" s="122"/>
      <c r="AA13" s="69" t="s">
        <v>77</v>
      </c>
      <c r="AB13" s="70">
        <f t="shared" si="11"/>
        <v>115454.648</v>
      </c>
      <c r="AC13" s="70">
        <f t="shared" si="18"/>
        <v>125</v>
      </c>
      <c r="AD13" s="70">
        <f t="shared" si="18"/>
        <v>14431831</v>
      </c>
      <c r="AE13" s="70">
        <f t="shared" si="12"/>
        <v>126886.45588235294</v>
      </c>
      <c r="AF13" s="70">
        <v>68</v>
      </c>
      <c r="AG13" s="70">
        <v>8628279</v>
      </c>
      <c r="AH13" s="70">
        <f t="shared" si="13"/>
        <v>101816.70175438597</v>
      </c>
      <c r="AI13" s="70">
        <v>57</v>
      </c>
      <c r="AJ13" s="71">
        <v>5803552</v>
      </c>
      <c r="AK13" s="118"/>
      <c r="AL13" s="122"/>
      <c r="AM13" s="69" t="s">
        <v>77</v>
      </c>
      <c r="AN13" s="70">
        <f t="shared" si="14"/>
        <v>659555.90909090906</v>
      </c>
      <c r="AO13" s="70">
        <f t="shared" si="19"/>
        <v>99</v>
      </c>
      <c r="AP13" s="70">
        <f t="shared" si="19"/>
        <v>65296035</v>
      </c>
      <c r="AQ13" s="70">
        <f t="shared" si="15"/>
        <v>670908.90566037735</v>
      </c>
      <c r="AR13" s="70">
        <v>53</v>
      </c>
      <c r="AS13" s="70">
        <v>35558172</v>
      </c>
      <c r="AT13" s="70">
        <f t="shared" si="16"/>
        <v>646475.28260869568</v>
      </c>
      <c r="AU13" s="70">
        <v>46</v>
      </c>
      <c r="AV13" s="71">
        <v>29737863</v>
      </c>
    </row>
    <row r="14" spans="1:48" ht="24" customHeight="1">
      <c r="A14" s="118"/>
      <c r="B14" s="122"/>
      <c r="C14" s="69" t="s">
        <v>79</v>
      </c>
      <c r="D14" s="70">
        <f t="shared" si="0"/>
        <v>1437371.4719626168</v>
      </c>
      <c r="E14" s="70">
        <f t="shared" si="17"/>
        <v>1498</v>
      </c>
      <c r="F14" s="70">
        <f t="shared" si="17"/>
        <v>2153182465</v>
      </c>
      <c r="G14" s="70">
        <f t="shared" si="6"/>
        <v>1469221.6029232643</v>
      </c>
      <c r="H14" s="70">
        <v>821</v>
      </c>
      <c r="I14" s="70">
        <v>1206230936</v>
      </c>
      <c r="J14" s="70">
        <f t="shared" si="2"/>
        <v>1398746.719350074</v>
      </c>
      <c r="K14" s="70">
        <v>677</v>
      </c>
      <c r="L14" s="71">
        <v>946951529</v>
      </c>
      <c r="M14" s="118"/>
      <c r="N14" s="122"/>
      <c r="O14" s="69" t="s">
        <v>79</v>
      </c>
      <c r="P14" s="70">
        <f t="shared" si="7"/>
        <v>18838.380175059847</v>
      </c>
      <c r="Q14" s="70">
        <v>22697</v>
      </c>
      <c r="R14" s="70">
        <f t="shared" si="8"/>
        <v>5130896578</v>
      </c>
      <c r="S14" s="70">
        <f t="shared" si="9"/>
        <v>19983.053634781983</v>
      </c>
      <c r="T14" s="70">
        <v>10711.83</v>
      </c>
      <c r="U14" s="70">
        <v>2568660881</v>
      </c>
      <c r="V14" s="72">
        <f t="shared" si="10"/>
        <v>17815.320217958248</v>
      </c>
      <c r="W14" s="70">
        <v>11985.17</v>
      </c>
      <c r="X14" s="71">
        <v>2562235697</v>
      </c>
      <c r="Y14" s="118"/>
      <c r="Z14" s="122"/>
      <c r="AA14" s="69" t="s">
        <v>79</v>
      </c>
      <c r="AB14" s="70">
        <f t="shared" si="11"/>
        <v>134115.59360730593</v>
      </c>
      <c r="AC14" s="70">
        <f t="shared" si="18"/>
        <v>219</v>
      </c>
      <c r="AD14" s="70">
        <f t="shared" si="18"/>
        <v>29371315</v>
      </c>
      <c r="AE14" s="70">
        <f t="shared" si="12"/>
        <v>164201.1851851852</v>
      </c>
      <c r="AF14" s="70">
        <v>108</v>
      </c>
      <c r="AG14" s="70">
        <v>17733728</v>
      </c>
      <c r="AH14" s="70">
        <f t="shared" si="13"/>
        <v>104843.12612612612</v>
      </c>
      <c r="AI14" s="70">
        <v>111</v>
      </c>
      <c r="AJ14" s="71">
        <v>11637587</v>
      </c>
      <c r="AK14" s="118"/>
      <c r="AL14" s="122"/>
      <c r="AM14" s="69" t="s">
        <v>79</v>
      </c>
      <c r="AN14" s="70">
        <f t="shared" si="14"/>
        <v>753057.93939393945</v>
      </c>
      <c r="AO14" s="70">
        <f t="shared" si="19"/>
        <v>66</v>
      </c>
      <c r="AP14" s="70">
        <f t="shared" si="19"/>
        <v>49701824</v>
      </c>
      <c r="AQ14" s="70">
        <f t="shared" si="15"/>
        <v>750653.41666666663</v>
      </c>
      <c r="AR14" s="70">
        <v>36</v>
      </c>
      <c r="AS14" s="70">
        <v>27023523</v>
      </c>
      <c r="AT14" s="70">
        <f t="shared" si="16"/>
        <v>755943.3666666667</v>
      </c>
      <c r="AU14" s="70">
        <v>30</v>
      </c>
      <c r="AV14" s="71">
        <v>22678301</v>
      </c>
    </row>
    <row r="15" spans="1:48" ht="24" customHeight="1">
      <c r="A15" s="118"/>
      <c r="B15" s="122"/>
      <c r="C15" s="69" t="s">
        <v>80</v>
      </c>
      <c r="D15" s="70">
        <f t="shared" si="0"/>
        <v>1426675.2498036134</v>
      </c>
      <c r="E15" s="70">
        <f t="shared" si="17"/>
        <v>1273</v>
      </c>
      <c r="F15" s="70">
        <f t="shared" si="17"/>
        <v>1816157593</v>
      </c>
      <c r="G15" s="70">
        <f t="shared" si="6"/>
        <v>1464449.8379629629</v>
      </c>
      <c r="H15" s="70">
        <v>648</v>
      </c>
      <c r="I15" s="70">
        <v>948963495</v>
      </c>
      <c r="J15" s="70">
        <f t="shared" si="2"/>
        <v>1387510.5567999999</v>
      </c>
      <c r="K15" s="70">
        <v>625</v>
      </c>
      <c r="L15" s="71">
        <v>867194098</v>
      </c>
      <c r="M15" s="118"/>
      <c r="N15" s="122"/>
      <c r="O15" s="69" t="s">
        <v>80</v>
      </c>
      <c r="P15" s="70">
        <f t="shared" si="7"/>
        <v>18280.927855086378</v>
      </c>
      <c r="Q15" s="70">
        <v>27872.42</v>
      </c>
      <c r="R15" s="70">
        <f t="shared" si="8"/>
        <v>6114404390</v>
      </c>
      <c r="S15" s="70">
        <f t="shared" si="9"/>
        <v>19717.831049233573</v>
      </c>
      <c r="T15" s="70">
        <v>12623.5</v>
      </c>
      <c r="U15" s="70">
        <v>2986896483</v>
      </c>
      <c r="V15" s="72">
        <f t="shared" si="10"/>
        <v>17091.417550663697</v>
      </c>
      <c r="W15" s="70">
        <v>15248.92</v>
      </c>
      <c r="X15" s="71">
        <v>3127507907</v>
      </c>
      <c r="Y15" s="118"/>
      <c r="Z15" s="122"/>
      <c r="AA15" s="69" t="s">
        <v>80</v>
      </c>
      <c r="AB15" s="70">
        <f t="shared" si="11"/>
        <v>108556.64503816795</v>
      </c>
      <c r="AC15" s="70">
        <f t="shared" si="18"/>
        <v>262</v>
      </c>
      <c r="AD15" s="70">
        <f t="shared" si="18"/>
        <v>28441841</v>
      </c>
      <c r="AE15" s="70">
        <f t="shared" si="12"/>
        <v>116222.13513513513</v>
      </c>
      <c r="AF15" s="70">
        <v>148</v>
      </c>
      <c r="AG15" s="70">
        <v>17200876</v>
      </c>
      <c r="AH15" s="70">
        <f t="shared" si="13"/>
        <v>98604.956140350871</v>
      </c>
      <c r="AI15" s="70">
        <v>114</v>
      </c>
      <c r="AJ15" s="71">
        <v>11240965</v>
      </c>
      <c r="AK15" s="118"/>
      <c r="AL15" s="122"/>
      <c r="AM15" s="69" t="s">
        <v>80</v>
      </c>
      <c r="AN15" s="70">
        <f t="shared" si="14"/>
        <v>706146.6</v>
      </c>
      <c r="AO15" s="70">
        <f t="shared" si="19"/>
        <v>115</v>
      </c>
      <c r="AP15" s="70">
        <f t="shared" si="19"/>
        <v>81206859</v>
      </c>
      <c r="AQ15" s="70">
        <f t="shared" si="15"/>
        <v>781845.0294117647</v>
      </c>
      <c r="AR15" s="70">
        <v>68</v>
      </c>
      <c r="AS15" s="70">
        <v>53165462</v>
      </c>
      <c r="AT15" s="70">
        <f t="shared" si="16"/>
        <v>596625.46808510635</v>
      </c>
      <c r="AU15" s="70">
        <v>47</v>
      </c>
      <c r="AV15" s="71">
        <v>28041397</v>
      </c>
    </row>
    <row r="16" spans="1:48" ht="24" customHeight="1">
      <c r="A16" s="118"/>
      <c r="B16" s="122"/>
      <c r="C16" s="69" t="s">
        <v>81</v>
      </c>
      <c r="D16" s="70">
        <f t="shared" si="0"/>
        <v>1385280.674335581</v>
      </c>
      <c r="E16" s="70">
        <f t="shared" si="17"/>
        <v>2521</v>
      </c>
      <c r="F16" s="70">
        <f t="shared" si="17"/>
        <v>3492292580</v>
      </c>
      <c r="G16" s="70">
        <f t="shared" si="6"/>
        <v>1405798.6347569956</v>
      </c>
      <c r="H16" s="70">
        <v>1358</v>
      </c>
      <c r="I16" s="70">
        <v>1909074546</v>
      </c>
      <c r="J16" s="70">
        <f t="shared" si="2"/>
        <v>1361322.4711951849</v>
      </c>
      <c r="K16" s="70">
        <v>1163</v>
      </c>
      <c r="L16" s="71">
        <v>1583218034</v>
      </c>
      <c r="M16" s="118"/>
      <c r="N16" s="122"/>
      <c r="O16" s="69" t="s">
        <v>81</v>
      </c>
      <c r="P16" s="70">
        <f t="shared" si="7"/>
        <v>16731.084928874785</v>
      </c>
      <c r="Q16" s="70">
        <v>67832.25</v>
      </c>
      <c r="R16" s="70">
        <f t="shared" si="8"/>
        <v>13618885628</v>
      </c>
      <c r="S16" s="70">
        <f t="shared" si="9"/>
        <v>17841.781757827983</v>
      </c>
      <c r="T16" s="70">
        <v>31958</v>
      </c>
      <c r="U16" s="70">
        <v>6842251937</v>
      </c>
      <c r="V16" s="72">
        <f t="shared" si="10"/>
        <v>15741.638480246975</v>
      </c>
      <c r="W16" s="70">
        <v>35874.25</v>
      </c>
      <c r="X16" s="71">
        <v>6776633691</v>
      </c>
      <c r="Y16" s="118"/>
      <c r="Z16" s="122"/>
      <c r="AA16" s="69" t="s">
        <v>81</v>
      </c>
      <c r="AB16" s="70">
        <f t="shared" si="11"/>
        <v>97044.892857142855</v>
      </c>
      <c r="AC16" s="70">
        <f t="shared" si="18"/>
        <v>840</v>
      </c>
      <c r="AD16" s="70">
        <f t="shared" si="18"/>
        <v>81517710</v>
      </c>
      <c r="AE16" s="70">
        <f t="shared" si="12"/>
        <v>113443.20671834625</v>
      </c>
      <c r="AF16" s="70">
        <v>387</v>
      </c>
      <c r="AG16" s="70">
        <v>43902521</v>
      </c>
      <c r="AH16" s="70">
        <f t="shared" si="13"/>
        <v>83035.737306843264</v>
      </c>
      <c r="AI16" s="70">
        <v>453</v>
      </c>
      <c r="AJ16" s="71">
        <v>37615189</v>
      </c>
      <c r="AK16" s="118"/>
      <c r="AL16" s="122"/>
      <c r="AM16" s="69" t="s">
        <v>81</v>
      </c>
      <c r="AN16" s="70">
        <f t="shared" si="14"/>
        <v>735259.86311787076</v>
      </c>
      <c r="AO16" s="70">
        <f t="shared" si="19"/>
        <v>263</v>
      </c>
      <c r="AP16" s="70">
        <f t="shared" si="19"/>
        <v>193373344</v>
      </c>
      <c r="AQ16" s="70">
        <f t="shared" si="15"/>
        <v>790283.8662420382</v>
      </c>
      <c r="AR16" s="70">
        <v>157</v>
      </c>
      <c r="AS16" s="70">
        <v>124074567</v>
      </c>
      <c r="AT16" s="70">
        <f t="shared" si="16"/>
        <v>653762.04716981133</v>
      </c>
      <c r="AU16" s="70">
        <v>106</v>
      </c>
      <c r="AV16" s="71">
        <v>69298777</v>
      </c>
    </row>
    <row r="17" spans="1:48" ht="24" customHeight="1">
      <c r="A17" s="118"/>
      <c r="B17" s="122"/>
      <c r="C17" s="69" t="s">
        <v>82</v>
      </c>
      <c r="D17" s="70">
        <f t="shared" si="0"/>
        <v>1318366.8219315896</v>
      </c>
      <c r="E17" s="70">
        <f t="shared" si="17"/>
        <v>994</v>
      </c>
      <c r="F17" s="70">
        <f t="shared" si="17"/>
        <v>1310456621</v>
      </c>
      <c r="G17" s="70">
        <f t="shared" si="6"/>
        <v>1319930.023715415</v>
      </c>
      <c r="H17" s="70">
        <v>506</v>
      </c>
      <c r="I17" s="70">
        <v>667884592</v>
      </c>
      <c r="J17" s="70">
        <f t="shared" si="2"/>
        <v>1316745.9610655739</v>
      </c>
      <c r="K17" s="70">
        <v>488</v>
      </c>
      <c r="L17" s="71">
        <v>642572029</v>
      </c>
      <c r="M17" s="118"/>
      <c r="N17" s="122"/>
      <c r="O17" s="69" t="s">
        <v>82</v>
      </c>
      <c r="P17" s="70">
        <f t="shared" si="7"/>
        <v>17654.173257986644</v>
      </c>
      <c r="Q17" s="70">
        <v>30798.080000000002</v>
      </c>
      <c r="R17" s="70">
        <f t="shared" si="8"/>
        <v>6524575684</v>
      </c>
      <c r="S17" s="70">
        <f t="shared" si="9"/>
        <v>18483.321993303751</v>
      </c>
      <c r="T17" s="70">
        <v>12433.83</v>
      </c>
      <c r="U17" s="70">
        <v>2757821802</v>
      </c>
      <c r="V17" s="72">
        <f t="shared" si="10"/>
        <v>17092.783905323296</v>
      </c>
      <c r="W17" s="70">
        <v>18364.25</v>
      </c>
      <c r="X17" s="71">
        <v>3766753882</v>
      </c>
      <c r="Y17" s="118"/>
      <c r="Z17" s="122"/>
      <c r="AA17" s="69" t="s">
        <v>82</v>
      </c>
      <c r="AB17" s="70">
        <f t="shared" si="11"/>
        <v>104648.8</v>
      </c>
      <c r="AC17" s="70">
        <f t="shared" si="18"/>
        <v>220</v>
      </c>
      <c r="AD17" s="70">
        <f t="shared" si="18"/>
        <v>23022736</v>
      </c>
      <c r="AE17" s="70">
        <f t="shared" si="12"/>
        <v>123853.77777777778</v>
      </c>
      <c r="AF17" s="70">
        <v>108</v>
      </c>
      <c r="AG17" s="70">
        <v>13376208</v>
      </c>
      <c r="AH17" s="70">
        <f t="shared" si="13"/>
        <v>86129.71428571429</v>
      </c>
      <c r="AI17" s="70">
        <v>112</v>
      </c>
      <c r="AJ17" s="71">
        <v>9646528</v>
      </c>
      <c r="AK17" s="118"/>
      <c r="AL17" s="122"/>
      <c r="AM17" s="69" t="s">
        <v>82</v>
      </c>
      <c r="AN17" s="70">
        <f t="shared" si="14"/>
        <v>748165.02631578944</v>
      </c>
      <c r="AO17" s="70">
        <f t="shared" si="19"/>
        <v>114</v>
      </c>
      <c r="AP17" s="70">
        <f t="shared" si="19"/>
        <v>85290813</v>
      </c>
      <c r="AQ17" s="70">
        <f t="shared" si="15"/>
        <v>858074.41269841266</v>
      </c>
      <c r="AR17" s="70">
        <v>63</v>
      </c>
      <c r="AS17" s="70">
        <v>54058688</v>
      </c>
      <c r="AT17" s="70">
        <f t="shared" si="16"/>
        <v>612394.60784313723</v>
      </c>
      <c r="AU17" s="70">
        <v>51</v>
      </c>
      <c r="AV17" s="71">
        <v>31232125</v>
      </c>
    </row>
    <row r="18" spans="1:48" ht="24" customHeight="1">
      <c r="A18" s="118"/>
      <c r="B18" s="122"/>
      <c r="C18" s="69" t="s">
        <v>83</v>
      </c>
      <c r="D18" s="70">
        <f t="shared" si="0"/>
        <v>1379494.8153034302</v>
      </c>
      <c r="E18" s="70">
        <f t="shared" si="17"/>
        <v>1516</v>
      </c>
      <c r="F18" s="70">
        <f t="shared" si="17"/>
        <v>2091314140</v>
      </c>
      <c r="G18" s="70">
        <f t="shared" si="6"/>
        <v>1365436.4611764706</v>
      </c>
      <c r="H18" s="70">
        <v>850</v>
      </c>
      <c r="I18" s="70">
        <v>1160620992</v>
      </c>
      <c r="J18" s="70">
        <f t="shared" si="2"/>
        <v>1397437.1591591591</v>
      </c>
      <c r="K18" s="70">
        <v>666</v>
      </c>
      <c r="L18" s="71">
        <v>930693148</v>
      </c>
      <c r="M18" s="118"/>
      <c r="N18" s="122"/>
      <c r="O18" s="69" t="s">
        <v>83</v>
      </c>
      <c r="P18" s="70">
        <f t="shared" si="7"/>
        <v>17133.317582978452</v>
      </c>
      <c r="Q18" s="70">
        <v>40126.080000000002</v>
      </c>
      <c r="R18" s="70">
        <f t="shared" si="8"/>
        <v>8249914464</v>
      </c>
      <c r="S18" s="70">
        <f t="shared" si="9"/>
        <v>18255.727154450095</v>
      </c>
      <c r="T18" s="70">
        <v>17132.330000000002</v>
      </c>
      <c r="U18" s="70">
        <v>3753157704</v>
      </c>
      <c r="V18" s="72">
        <f t="shared" si="10"/>
        <v>16297.025496058712</v>
      </c>
      <c r="W18" s="70">
        <v>22993.75</v>
      </c>
      <c r="X18" s="71">
        <v>4496756760</v>
      </c>
      <c r="Y18" s="118"/>
      <c r="Z18" s="122"/>
      <c r="AA18" s="69" t="s">
        <v>83</v>
      </c>
      <c r="AB18" s="70">
        <f t="shared" si="11"/>
        <v>105709.29794520549</v>
      </c>
      <c r="AC18" s="70">
        <f t="shared" si="18"/>
        <v>292</v>
      </c>
      <c r="AD18" s="70">
        <f t="shared" si="18"/>
        <v>30867115</v>
      </c>
      <c r="AE18" s="70">
        <f t="shared" si="12"/>
        <v>115378.8021978022</v>
      </c>
      <c r="AF18" s="70">
        <v>182</v>
      </c>
      <c r="AG18" s="70">
        <v>20998942</v>
      </c>
      <c r="AH18" s="70">
        <f t="shared" si="13"/>
        <v>89710.663636363635</v>
      </c>
      <c r="AI18" s="70">
        <v>110</v>
      </c>
      <c r="AJ18" s="71">
        <v>9868173</v>
      </c>
      <c r="AK18" s="118"/>
      <c r="AL18" s="122"/>
      <c r="AM18" s="69" t="s">
        <v>83</v>
      </c>
      <c r="AN18" s="70">
        <f t="shared" si="14"/>
        <v>788290.28930817614</v>
      </c>
      <c r="AO18" s="70">
        <f t="shared" si="19"/>
        <v>159</v>
      </c>
      <c r="AP18" s="70">
        <f t="shared" si="19"/>
        <v>125338156</v>
      </c>
      <c r="AQ18" s="70">
        <f t="shared" si="15"/>
        <v>820092.80952380947</v>
      </c>
      <c r="AR18" s="70">
        <v>105</v>
      </c>
      <c r="AS18" s="70">
        <v>86109745</v>
      </c>
      <c r="AT18" s="70">
        <f t="shared" si="16"/>
        <v>726452.0555555555</v>
      </c>
      <c r="AU18" s="70">
        <v>54</v>
      </c>
      <c r="AV18" s="71">
        <v>39228411</v>
      </c>
    </row>
    <row r="19" spans="1:48" ht="24" customHeight="1">
      <c r="A19" s="118"/>
      <c r="B19" s="122"/>
      <c r="C19" s="69" t="s">
        <v>84</v>
      </c>
      <c r="D19" s="70">
        <f t="shared" si="0"/>
        <v>1393870.344783715</v>
      </c>
      <c r="E19" s="70">
        <f t="shared" si="17"/>
        <v>786</v>
      </c>
      <c r="F19" s="70">
        <f t="shared" si="17"/>
        <v>1095582091</v>
      </c>
      <c r="G19" s="70">
        <f t="shared" si="6"/>
        <v>1427827.5022831049</v>
      </c>
      <c r="H19" s="70">
        <v>438</v>
      </c>
      <c r="I19" s="70">
        <v>625388446</v>
      </c>
      <c r="J19" s="70">
        <f t="shared" si="2"/>
        <v>1351131.1637931035</v>
      </c>
      <c r="K19" s="70">
        <v>348</v>
      </c>
      <c r="L19" s="71">
        <v>470193645</v>
      </c>
      <c r="M19" s="118"/>
      <c r="N19" s="122"/>
      <c r="O19" s="69" t="s">
        <v>84</v>
      </c>
      <c r="P19" s="70">
        <f t="shared" si="7"/>
        <v>17481.969868379874</v>
      </c>
      <c r="Q19" s="70">
        <v>15221.33</v>
      </c>
      <c r="R19" s="70">
        <f t="shared" si="8"/>
        <v>3193185989</v>
      </c>
      <c r="S19" s="70">
        <f t="shared" si="9"/>
        <v>18638.21615087608</v>
      </c>
      <c r="T19" s="70">
        <v>7100.75</v>
      </c>
      <c r="U19" s="70">
        <v>1588143760</v>
      </c>
      <c r="V19" s="72">
        <f t="shared" si="10"/>
        <v>16470.931766368085</v>
      </c>
      <c r="W19" s="70">
        <v>8120.58</v>
      </c>
      <c r="X19" s="71">
        <v>1605042229</v>
      </c>
      <c r="Y19" s="118"/>
      <c r="Z19" s="122"/>
      <c r="AA19" s="69" t="s">
        <v>84</v>
      </c>
      <c r="AB19" s="70">
        <f t="shared" si="11"/>
        <v>85104.532710280371</v>
      </c>
      <c r="AC19" s="70">
        <f t="shared" si="18"/>
        <v>214</v>
      </c>
      <c r="AD19" s="70">
        <f t="shared" si="18"/>
        <v>18212370</v>
      </c>
      <c r="AE19" s="70">
        <f t="shared" si="12"/>
        <v>106580.95283018867</v>
      </c>
      <c r="AF19" s="70">
        <v>106</v>
      </c>
      <c r="AG19" s="70">
        <v>11297581</v>
      </c>
      <c r="AH19" s="70">
        <f t="shared" si="13"/>
        <v>64025.824074074073</v>
      </c>
      <c r="AI19" s="70">
        <v>108</v>
      </c>
      <c r="AJ19" s="71">
        <v>6914789</v>
      </c>
      <c r="AK19" s="118"/>
      <c r="AL19" s="122"/>
      <c r="AM19" s="69" t="s">
        <v>84</v>
      </c>
      <c r="AN19" s="70">
        <f t="shared" si="14"/>
        <v>734336.21621621621</v>
      </c>
      <c r="AO19" s="70">
        <f t="shared" si="19"/>
        <v>74</v>
      </c>
      <c r="AP19" s="70">
        <f t="shared" si="19"/>
        <v>54340880</v>
      </c>
      <c r="AQ19" s="70">
        <f t="shared" si="15"/>
        <v>796947.31914893619</v>
      </c>
      <c r="AR19" s="70">
        <v>47</v>
      </c>
      <c r="AS19" s="70">
        <v>37456524</v>
      </c>
      <c r="AT19" s="70">
        <f t="shared" si="16"/>
        <v>625346.51851851854</v>
      </c>
      <c r="AU19" s="70">
        <v>27</v>
      </c>
      <c r="AV19" s="71">
        <v>16884356</v>
      </c>
    </row>
    <row r="20" spans="1:48" ht="24" customHeight="1">
      <c r="A20" s="118"/>
      <c r="B20" s="122"/>
      <c r="C20" s="69" t="s">
        <v>85</v>
      </c>
      <c r="D20" s="70">
        <f t="shared" si="0"/>
        <v>1282529.1154649947</v>
      </c>
      <c r="E20" s="70">
        <f t="shared" si="17"/>
        <v>1914</v>
      </c>
      <c r="F20" s="70">
        <f t="shared" si="17"/>
        <v>2454760727</v>
      </c>
      <c r="G20" s="70">
        <f t="shared" si="6"/>
        <v>1287073.958538993</v>
      </c>
      <c r="H20" s="70">
        <v>1013</v>
      </c>
      <c r="I20" s="70">
        <v>1303805920</v>
      </c>
      <c r="J20" s="70">
        <f t="shared" si="2"/>
        <v>1277419.319644839</v>
      </c>
      <c r="K20" s="70">
        <v>901</v>
      </c>
      <c r="L20" s="71">
        <v>1150954807</v>
      </c>
      <c r="M20" s="118"/>
      <c r="N20" s="122"/>
      <c r="O20" s="69" t="s">
        <v>85</v>
      </c>
      <c r="P20" s="70">
        <f t="shared" si="7"/>
        <v>16649.497275608097</v>
      </c>
      <c r="Q20" s="70">
        <v>38738.92</v>
      </c>
      <c r="R20" s="70">
        <f t="shared" si="8"/>
        <v>7739802516</v>
      </c>
      <c r="S20" s="70">
        <f t="shared" si="9"/>
        <v>17743.768918656824</v>
      </c>
      <c r="T20" s="70">
        <v>16138.17</v>
      </c>
      <c r="U20" s="70">
        <v>3436223511</v>
      </c>
      <c r="V20" s="72">
        <f t="shared" si="10"/>
        <v>15868.127551076845</v>
      </c>
      <c r="W20" s="70">
        <v>22600.75</v>
      </c>
      <c r="X20" s="71">
        <v>4303579005</v>
      </c>
      <c r="Y20" s="118"/>
      <c r="Z20" s="122"/>
      <c r="AA20" s="69" t="s">
        <v>85</v>
      </c>
      <c r="AB20" s="70">
        <f t="shared" si="11"/>
        <v>99547.659722222219</v>
      </c>
      <c r="AC20" s="70">
        <f t="shared" si="18"/>
        <v>432</v>
      </c>
      <c r="AD20" s="70">
        <f t="shared" si="18"/>
        <v>43004589</v>
      </c>
      <c r="AE20" s="70">
        <f t="shared" si="12"/>
        <v>124523.03664921466</v>
      </c>
      <c r="AF20" s="70">
        <v>191</v>
      </c>
      <c r="AG20" s="70">
        <v>23783900</v>
      </c>
      <c r="AH20" s="70">
        <f t="shared" si="13"/>
        <v>79753.896265560164</v>
      </c>
      <c r="AI20" s="70">
        <v>241</v>
      </c>
      <c r="AJ20" s="71">
        <v>19220689</v>
      </c>
      <c r="AK20" s="118"/>
      <c r="AL20" s="122"/>
      <c r="AM20" s="69" t="s">
        <v>85</v>
      </c>
      <c r="AN20" s="70">
        <f t="shared" si="14"/>
        <v>717388.89090909087</v>
      </c>
      <c r="AO20" s="70">
        <f t="shared" si="19"/>
        <v>165</v>
      </c>
      <c r="AP20" s="70">
        <f t="shared" si="19"/>
        <v>118369167</v>
      </c>
      <c r="AQ20" s="70">
        <f t="shared" si="15"/>
        <v>732502.6162790698</v>
      </c>
      <c r="AR20" s="70">
        <v>86</v>
      </c>
      <c r="AS20" s="70">
        <v>62995225</v>
      </c>
      <c r="AT20" s="70">
        <f t="shared" si="16"/>
        <v>700935.97468354425</v>
      </c>
      <c r="AU20" s="70">
        <v>79</v>
      </c>
      <c r="AV20" s="71">
        <v>55373942</v>
      </c>
    </row>
    <row r="21" spans="1:48" ht="24" customHeight="1">
      <c r="A21" s="118"/>
      <c r="B21" s="122"/>
      <c r="C21" s="69" t="s">
        <v>86</v>
      </c>
      <c r="D21" s="70">
        <f t="shared" si="0"/>
        <v>1126727.2024048097</v>
      </c>
      <c r="E21" s="70">
        <f t="shared" si="17"/>
        <v>499</v>
      </c>
      <c r="F21" s="70">
        <f t="shared" si="17"/>
        <v>562236874</v>
      </c>
      <c r="G21" s="70">
        <f t="shared" si="6"/>
        <v>1167196.7396694215</v>
      </c>
      <c r="H21" s="70">
        <v>242</v>
      </c>
      <c r="I21" s="70">
        <v>282461611</v>
      </c>
      <c r="J21" s="70">
        <f t="shared" si="2"/>
        <v>1088619.7003891051</v>
      </c>
      <c r="K21" s="70">
        <v>257</v>
      </c>
      <c r="L21" s="71">
        <v>279775263</v>
      </c>
      <c r="M21" s="118"/>
      <c r="N21" s="122"/>
      <c r="O21" s="69" t="s">
        <v>86</v>
      </c>
      <c r="P21" s="70">
        <f t="shared" si="7"/>
        <v>16881.40634655426</v>
      </c>
      <c r="Q21" s="70">
        <v>8905.83</v>
      </c>
      <c r="R21" s="70">
        <f t="shared" si="8"/>
        <v>1804115221</v>
      </c>
      <c r="S21" s="70">
        <f t="shared" si="9"/>
        <v>17840.781212273308</v>
      </c>
      <c r="T21" s="70">
        <v>3506.58</v>
      </c>
      <c r="U21" s="70">
        <v>750721519</v>
      </c>
      <c r="V21" s="72">
        <f t="shared" si="10"/>
        <v>16258.333750057878</v>
      </c>
      <c r="W21" s="70">
        <v>5399.25</v>
      </c>
      <c r="X21" s="71">
        <v>1053393702</v>
      </c>
      <c r="Y21" s="118"/>
      <c r="Z21" s="122"/>
      <c r="AA21" s="69" t="s">
        <v>86</v>
      </c>
      <c r="AB21" s="70">
        <f t="shared" si="11"/>
        <v>125279.39473684211</v>
      </c>
      <c r="AC21" s="70">
        <f t="shared" si="18"/>
        <v>114</v>
      </c>
      <c r="AD21" s="70">
        <f t="shared" si="18"/>
        <v>14281851</v>
      </c>
      <c r="AE21" s="70">
        <f t="shared" si="12"/>
        <v>139043.08620689655</v>
      </c>
      <c r="AF21" s="70">
        <v>58</v>
      </c>
      <c r="AG21" s="70">
        <v>8064499</v>
      </c>
      <c r="AH21" s="70">
        <f t="shared" si="13"/>
        <v>111024.14285714286</v>
      </c>
      <c r="AI21" s="70">
        <v>56</v>
      </c>
      <c r="AJ21" s="71">
        <v>6217352</v>
      </c>
      <c r="AK21" s="118"/>
      <c r="AL21" s="122"/>
      <c r="AM21" s="69" t="s">
        <v>86</v>
      </c>
      <c r="AN21" s="70">
        <f t="shared" si="14"/>
        <v>774786.8823529412</v>
      </c>
      <c r="AO21" s="70">
        <f t="shared" si="19"/>
        <v>34</v>
      </c>
      <c r="AP21" s="70">
        <f t="shared" si="19"/>
        <v>26342754</v>
      </c>
      <c r="AQ21" s="70">
        <f t="shared" si="15"/>
        <v>819219.0555555555</v>
      </c>
      <c r="AR21" s="70">
        <v>18</v>
      </c>
      <c r="AS21" s="70">
        <v>14745943</v>
      </c>
      <c r="AT21" s="70">
        <f t="shared" si="16"/>
        <v>724800.6875</v>
      </c>
      <c r="AU21" s="70">
        <v>16</v>
      </c>
      <c r="AV21" s="71">
        <v>11596811</v>
      </c>
    </row>
    <row r="22" spans="1:48" ht="24" customHeight="1">
      <c r="A22" s="118"/>
      <c r="B22" s="122"/>
      <c r="C22" s="69" t="s">
        <v>87</v>
      </c>
      <c r="D22" s="70">
        <f t="shared" si="0"/>
        <v>1257273.504522613</v>
      </c>
      <c r="E22" s="70">
        <f t="shared" si="17"/>
        <v>995</v>
      </c>
      <c r="F22" s="70">
        <f t="shared" si="17"/>
        <v>1250987137</v>
      </c>
      <c r="G22" s="70">
        <f t="shared" si="6"/>
        <v>1256755.835073069</v>
      </c>
      <c r="H22" s="70">
        <v>479</v>
      </c>
      <c r="I22" s="70">
        <v>601986045</v>
      </c>
      <c r="J22" s="70">
        <f t="shared" si="2"/>
        <v>1257754.0542635659</v>
      </c>
      <c r="K22" s="70">
        <v>516</v>
      </c>
      <c r="L22" s="71">
        <v>649001092</v>
      </c>
      <c r="M22" s="118"/>
      <c r="N22" s="122"/>
      <c r="O22" s="69" t="s">
        <v>87</v>
      </c>
      <c r="P22" s="70">
        <f t="shared" si="7"/>
        <v>18367.353985801303</v>
      </c>
      <c r="Q22" s="70">
        <v>20317.830000000002</v>
      </c>
      <c r="R22" s="70">
        <f t="shared" si="8"/>
        <v>4478217310</v>
      </c>
      <c r="S22" s="70">
        <f t="shared" si="9"/>
        <v>19748.228483524592</v>
      </c>
      <c r="T22" s="70">
        <v>8166.92</v>
      </c>
      <c r="U22" s="70">
        <v>1935386426</v>
      </c>
      <c r="V22" s="72">
        <f t="shared" si="10"/>
        <v>17439.220541873921</v>
      </c>
      <c r="W22" s="70">
        <v>12150.92</v>
      </c>
      <c r="X22" s="71">
        <v>2542830884</v>
      </c>
      <c r="Y22" s="118"/>
      <c r="Z22" s="122"/>
      <c r="AA22" s="69" t="s">
        <v>87</v>
      </c>
      <c r="AB22" s="70">
        <f t="shared" si="11"/>
        <v>124786.99502487562</v>
      </c>
      <c r="AC22" s="70">
        <f t="shared" si="18"/>
        <v>201</v>
      </c>
      <c r="AD22" s="70">
        <f t="shared" si="18"/>
        <v>25082186</v>
      </c>
      <c r="AE22" s="70">
        <f t="shared" si="12"/>
        <v>136995.66055045871</v>
      </c>
      <c r="AF22" s="70">
        <v>109</v>
      </c>
      <c r="AG22" s="70">
        <v>14932527</v>
      </c>
      <c r="AH22" s="70">
        <f t="shared" si="13"/>
        <v>110322.38043478261</v>
      </c>
      <c r="AI22" s="70">
        <v>92</v>
      </c>
      <c r="AJ22" s="71">
        <v>10149659</v>
      </c>
      <c r="AK22" s="118"/>
      <c r="AL22" s="122"/>
      <c r="AM22" s="69" t="s">
        <v>87</v>
      </c>
      <c r="AN22" s="70">
        <f t="shared" si="14"/>
        <v>662328.75806451612</v>
      </c>
      <c r="AO22" s="70">
        <f t="shared" si="19"/>
        <v>62</v>
      </c>
      <c r="AP22" s="70">
        <f t="shared" si="19"/>
        <v>41064383</v>
      </c>
      <c r="AQ22" s="70">
        <f t="shared" si="15"/>
        <v>720023.14634146343</v>
      </c>
      <c r="AR22" s="70">
        <v>41</v>
      </c>
      <c r="AS22" s="70">
        <v>29520949</v>
      </c>
      <c r="AT22" s="70">
        <f t="shared" si="16"/>
        <v>549687.33333333337</v>
      </c>
      <c r="AU22" s="70">
        <v>21</v>
      </c>
      <c r="AV22" s="71">
        <v>11543434</v>
      </c>
    </row>
    <row r="23" spans="1:48" ht="24" customHeight="1">
      <c r="A23" s="118"/>
      <c r="B23" s="122"/>
      <c r="C23" s="69" t="s">
        <v>88</v>
      </c>
      <c r="D23" s="70">
        <f t="shared" si="0"/>
        <v>1362096.1783216784</v>
      </c>
      <c r="E23" s="70">
        <f t="shared" si="17"/>
        <v>286</v>
      </c>
      <c r="F23" s="70">
        <f t="shared" si="17"/>
        <v>389559507</v>
      </c>
      <c r="G23" s="70">
        <f t="shared" si="6"/>
        <v>1367120.2931034483</v>
      </c>
      <c r="H23" s="70">
        <v>174</v>
      </c>
      <c r="I23" s="70">
        <v>237878931</v>
      </c>
      <c r="J23" s="70">
        <f t="shared" si="2"/>
        <v>1354290.857142857</v>
      </c>
      <c r="K23" s="70">
        <v>112</v>
      </c>
      <c r="L23" s="71">
        <v>151680576</v>
      </c>
      <c r="M23" s="118"/>
      <c r="N23" s="122"/>
      <c r="O23" s="69" t="s">
        <v>88</v>
      </c>
      <c r="P23" s="70">
        <f t="shared" si="7"/>
        <v>17917.783617945472</v>
      </c>
      <c r="Q23" s="70">
        <v>5423.17</v>
      </c>
      <c r="R23" s="70">
        <f t="shared" si="8"/>
        <v>1166054239</v>
      </c>
      <c r="S23" s="70">
        <f t="shared" si="9"/>
        <v>18904.309454237922</v>
      </c>
      <c r="T23" s="70">
        <v>1974.67</v>
      </c>
      <c r="U23" s="70">
        <v>447957273</v>
      </c>
      <c r="V23" s="72">
        <f t="shared" si="10"/>
        <v>17352.882074331836</v>
      </c>
      <c r="W23" s="70">
        <v>3448.5</v>
      </c>
      <c r="X23" s="71">
        <v>718096966</v>
      </c>
      <c r="Y23" s="118"/>
      <c r="Z23" s="122"/>
      <c r="AA23" s="69" t="s">
        <v>88</v>
      </c>
      <c r="AB23" s="70">
        <f t="shared" si="11"/>
        <v>123787.2</v>
      </c>
      <c r="AC23" s="70">
        <f t="shared" si="18"/>
        <v>20</v>
      </c>
      <c r="AD23" s="70">
        <f t="shared" si="18"/>
        <v>2475744</v>
      </c>
      <c r="AE23" s="70">
        <f t="shared" si="12"/>
        <v>120207.23076923077</v>
      </c>
      <c r="AF23" s="70">
        <v>13</v>
      </c>
      <c r="AG23" s="70">
        <v>1562694</v>
      </c>
      <c r="AH23" s="70">
        <f t="shared" si="13"/>
        <v>130435.71428571429</v>
      </c>
      <c r="AI23" s="70">
        <v>7</v>
      </c>
      <c r="AJ23" s="71">
        <v>913050</v>
      </c>
      <c r="AK23" s="118"/>
      <c r="AL23" s="122"/>
      <c r="AM23" s="69" t="s">
        <v>88</v>
      </c>
      <c r="AN23" s="70">
        <f t="shared" si="14"/>
        <v>676115.66666666663</v>
      </c>
      <c r="AO23" s="70">
        <f t="shared" si="19"/>
        <v>18</v>
      </c>
      <c r="AP23" s="70">
        <f t="shared" si="19"/>
        <v>12170082</v>
      </c>
      <c r="AQ23" s="70">
        <f t="shared" si="15"/>
        <v>708108.57142857148</v>
      </c>
      <c r="AR23" s="70">
        <v>7</v>
      </c>
      <c r="AS23" s="70">
        <v>4956760</v>
      </c>
      <c r="AT23" s="70">
        <f t="shared" si="16"/>
        <v>655756.54545454541</v>
      </c>
      <c r="AU23" s="70">
        <v>11</v>
      </c>
      <c r="AV23" s="71">
        <v>7213322</v>
      </c>
    </row>
    <row r="24" spans="1:48" ht="24" customHeight="1">
      <c r="A24" s="118"/>
      <c r="B24" s="122"/>
      <c r="C24" s="69" t="s">
        <v>89</v>
      </c>
      <c r="D24" s="70">
        <f t="shared" si="0"/>
        <v>1499128.6015625</v>
      </c>
      <c r="E24" s="70">
        <f t="shared" si="17"/>
        <v>1536</v>
      </c>
      <c r="F24" s="70">
        <f t="shared" si="17"/>
        <v>2302661532</v>
      </c>
      <c r="G24" s="70">
        <f t="shared" si="6"/>
        <v>1490195.2190237797</v>
      </c>
      <c r="H24" s="70">
        <v>799</v>
      </c>
      <c r="I24" s="70">
        <v>1190665980</v>
      </c>
      <c r="J24" s="70">
        <f t="shared" si="2"/>
        <v>1508813.5033921304</v>
      </c>
      <c r="K24" s="70">
        <v>737</v>
      </c>
      <c r="L24" s="71">
        <v>1111995552</v>
      </c>
      <c r="M24" s="118"/>
      <c r="N24" s="122"/>
      <c r="O24" s="69" t="s">
        <v>89</v>
      </c>
      <c r="P24" s="70">
        <f t="shared" si="7"/>
        <v>19336.418293089435</v>
      </c>
      <c r="Q24" s="70">
        <v>29369.67</v>
      </c>
      <c r="R24" s="70">
        <f t="shared" si="8"/>
        <v>6814850691</v>
      </c>
      <c r="S24" s="70">
        <f t="shared" si="9"/>
        <v>20373.290531097889</v>
      </c>
      <c r="T24" s="70">
        <v>11575.33</v>
      </c>
      <c r="U24" s="70">
        <v>2829930733</v>
      </c>
      <c r="V24" s="72">
        <f t="shared" si="10"/>
        <v>18661.936873524694</v>
      </c>
      <c r="W24" s="70">
        <v>17794.330000000002</v>
      </c>
      <c r="X24" s="71">
        <v>3984919958</v>
      </c>
      <c r="Y24" s="118"/>
      <c r="Z24" s="122"/>
      <c r="AA24" s="69" t="s">
        <v>89</v>
      </c>
      <c r="AB24" s="70">
        <f t="shared" si="11"/>
        <v>122014.53289473684</v>
      </c>
      <c r="AC24" s="70">
        <f t="shared" si="18"/>
        <v>152</v>
      </c>
      <c r="AD24" s="70">
        <f t="shared" si="18"/>
        <v>18546209</v>
      </c>
      <c r="AE24" s="70">
        <f t="shared" si="12"/>
        <v>130440.76470588235</v>
      </c>
      <c r="AF24" s="70">
        <v>85</v>
      </c>
      <c r="AG24" s="70">
        <v>11087465</v>
      </c>
      <c r="AH24" s="70">
        <f t="shared" si="13"/>
        <v>111324.53731343284</v>
      </c>
      <c r="AI24" s="70">
        <v>67</v>
      </c>
      <c r="AJ24" s="71">
        <v>7458744</v>
      </c>
      <c r="AK24" s="118"/>
      <c r="AL24" s="122"/>
      <c r="AM24" s="69" t="s">
        <v>89</v>
      </c>
      <c r="AN24" s="70">
        <f t="shared" si="14"/>
        <v>812450.78350515466</v>
      </c>
      <c r="AO24" s="70">
        <f t="shared" si="19"/>
        <v>97</v>
      </c>
      <c r="AP24" s="70">
        <f t="shared" si="19"/>
        <v>78807726</v>
      </c>
      <c r="AQ24" s="70">
        <f t="shared" si="15"/>
        <v>886077.5555555555</v>
      </c>
      <c r="AR24" s="70">
        <v>63</v>
      </c>
      <c r="AS24" s="70">
        <v>55822886</v>
      </c>
      <c r="AT24" s="70">
        <f t="shared" si="16"/>
        <v>676024.70588235289</v>
      </c>
      <c r="AU24" s="70">
        <v>34</v>
      </c>
      <c r="AV24" s="71">
        <v>22984840</v>
      </c>
    </row>
    <row r="25" spans="1:48" ht="24" customHeight="1">
      <c r="A25" s="118"/>
      <c r="B25" s="122"/>
      <c r="C25" s="69" t="s">
        <v>90</v>
      </c>
      <c r="D25" s="70">
        <f t="shared" si="0"/>
        <v>1503230.6468510889</v>
      </c>
      <c r="E25" s="70">
        <f t="shared" si="17"/>
        <v>1699</v>
      </c>
      <c r="F25" s="70">
        <f t="shared" si="17"/>
        <v>2553988869</v>
      </c>
      <c r="G25" s="70">
        <f t="shared" si="6"/>
        <v>1512293.2786489746</v>
      </c>
      <c r="H25" s="70">
        <v>829</v>
      </c>
      <c r="I25" s="70">
        <v>1253691128</v>
      </c>
      <c r="J25" s="70">
        <f t="shared" si="2"/>
        <v>1494595.1045977012</v>
      </c>
      <c r="K25" s="70">
        <v>870</v>
      </c>
      <c r="L25" s="71">
        <v>1300297741</v>
      </c>
      <c r="M25" s="118"/>
      <c r="N25" s="122"/>
      <c r="O25" s="69" t="s">
        <v>90</v>
      </c>
      <c r="P25" s="70">
        <f t="shared" si="7"/>
        <v>18222.792660096249</v>
      </c>
      <c r="Q25" s="70">
        <v>25961.83</v>
      </c>
      <c r="R25" s="70">
        <f t="shared" si="8"/>
        <v>5677164542</v>
      </c>
      <c r="S25" s="70">
        <f t="shared" si="9"/>
        <v>19102.138524068105</v>
      </c>
      <c r="T25" s="70">
        <v>12251.83</v>
      </c>
      <c r="U25" s="70">
        <v>2808433846</v>
      </c>
      <c r="V25" s="72">
        <f t="shared" si="10"/>
        <v>17436.972380257717</v>
      </c>
      <c r="W25" s="70">
        <v>13710</v>
      </c>
      <c r="X25" s="71">
        <v>2868730696</v>
      </c>
      <c r="Y25" s="118"/>
      <c r="Z25" s="122"/>
      <c r="AA25" s="69" t="s">
        <v>90</v>
      </c>
      <c r="AB25" s="70">
        <f t="shared" si="11"/>
        <v>118733.39923954372</v>
      </c>
      <c r="AC25" s="70">
        <f t="shared" si="18"/>
        <v>263</v>
      </c>
      <c r="AD25" s="70">
        <f t="shared" si="18"/>
        <v>31226884</v>
      </c>
      <c r="AE25" s="70">
        <f t="shared" si="12"/>
        <v>127542.07586206896</v>
      </c>
      <c r="AF25" s="70">
        <v>145</v>
      </c>
      <c r="AG25" s="70">
        <v>18493601</v>
      </c>
      <c r="AH25" s="70">
        <f t="shared" si="13"/>
        <v>107909.17796610169</v>
      </c>
      <c r="AI25" s="70">
        <v>118</v>
      </c>
      <c r="AJ25" s="71">
        <v>12733283</v>
      </c>
      <c r="AK25" s="118"/>
      <c r="AL25" s="122"/>
      <c r="AM25" s="69" t="s">
        <v>90</v>
      </c>
      <c r="AN25" s="70">
        <f t="shared" si="14"/>
        <v>801709.25714285718</v>
      </c>
      <c r="AO25" s="70">
        <f t="shared" si="19"/>
        <v>70</v>
      </c>
      <c r="AP25" s="70">
        <f t="shared" si="19"/>
        <v>56119648</v>
      </c>
      <c r="AQ25" s="70">
        <f t="shared" si="15"/>
        <v>844070.61538461538</v>
      </c>
      <c r="AR25" s="70">
        <v>39</v>
      </c>
      <c r="AS25" s="70">
        <v>32918754</v>
      </c>
      <c r="AT25" s="70">
        <f t="shared" si="16"/>
        <v>748415.93548387091</v>
      </c>
      <c r="AU25" s="70">
        <v>31</v>
      </c>
      <c r="AV25" s="71">
        <v>23200894</v>
      </c>
    </row>
    <row r="26" spans="1:48" ht="24" customHeight="1">
      <c r="A26" s="118"/>
      <c r="B26" s="122"/>
      <c r="C26" s="69" t="s">
        <v>91</v>
      </c>
      <c r="D26" s="70">
        <f t="shared" si="0"/>
        <v>1454274.2659137577</v>
      </c>
      <c r="E26" s="70">
        <f t="shared" si="17"/>
        <v>974</v>
      </c>
      <c r="F26" s="70">
        <f t="shared" si="17"/>
        <v>1416463135</v>
      </c>
      <c r="G26" s="70">
        <f t="shared" si="6"/>
        <v>1416425.6545842218</v>
      </c>
      <c r="H26" s="70">
        <v>469</v>
      </c>
      <c r="I26" s="70">
        <v>664303632</v>
      </c>
      <c r="J26" s="70">
        <f t="shared" si="2"/>
        <v>1489424.7584158415</v>
      </c>
      <c r="K26" s="70">
        <v>505</v>
      </c>
      <c r="L26" s="71">
        <v>752159503</v>
      </c>
      <c r="M26" s="118"/>
      <c r="N26" s="122"/>
      <c r="O26" s="69" t="s">
        <v>91</v>
      </c>
      <c r="P26" s="70">
        <f t="shared" si="7"/>
        <v>17640.379969422018</v>
      </c>
      <c r="Q26" s="70">
        <v>27512.17</v>
      </c>
      <c r="R26" s="70">
        <f t="shared" si="8"/>
        <v>5823901591</v>
      </c>
      <c r="S26" s="70">
        <f t="shared" si="9"/>
        <v>18438.795796436334</v>
      </c>
      <c r="T26" s="70">
        <v>11814.42</v>
      </c>
      <c r="U26" s="70">
        <v>2614124134</v>
      </c>
      <c r="V26" s="72">
        <f t="shared" si="10"/>
        <v>17039.477297701898</v>
      </c>
      <c r="W26" s="70">
        <v>15697.75</v>
      </c>
      <c r="X26" s="71">
        <v>3209777457</v>
      </c>
      <c r="Y26" s="118"/>
      <c r="Z26" s="122"/>
      <c r="AA26" s="69" t="s">
        <v>91</v>
      </c>
      <c r="AB26" s="70">
        <f t="shared" si="11"/>
        <v>92561.786885245907</v>
      </c>
      <c r="AC26" s="70">
        <f t="shared" si="18"/>
        <v>244</v>
      </c>
      <c r="AD26" s="70">
        <f t="shared" si="18"/>
        <v>22585076</v>
      </c>
      <c r="AE26" s="70">
        <f t="shared" si="12"/>
        <v>105637.09160305343</v>
      </c>
      <c r="AF26" s="70">
        <v>131</v>
      </c>
      <c r="AG26" s="70">
        <v>13838459</v>
      </c>
      <c r="AH26" s="70">
        <f t="shared" si="13"/>
        <v>77403.69026548673</v>
      </c>
      <c r="AI26" s="70">
        <v>113</v>
      </c>
      <c r="AJ26" s="71">
        <v>8746617</v>
      </c>
      <c r="AK26" s="118"/>
      <c r="AL26" s="122"/>
      <c r="AM26" s="69" t="s">
        <v>91</v>
      </c>
      <c r="AN26" s="70">
        <f t="shared" si="14"/>
        <v>639250.98130841122</v>
      </c>
      <c r="AO26" s="70">
        <f t="shared" si="19"/>
        <v>107</v>
      </c>
      <c r="AP26" s="70">
        <f t="shared" si="19"/>
        <v>68399855</v>
      </c>
      <c r="AQ26" s="70">
        <f t="shared" si="15"/>
        <v>643503.78787878784</v>
      </c>
      <c r="AR26" s="70">
        <v>66</v>
      </c>
      <c r="AS26" s="70">
        <v>42471250</v>
      </c>
      <c r="AT26" s="70">
        <f t="shared" si="16"/>
        <v>632405</v>
      </c>
      <c r="AU26" s="70">
        <v>41</v>
      </c>
      <c r="AV26" s="71">
        <v>25928605</v>
      </c>
    </row>
    <row r="27" spans="1:48" ht="24" customHeight="1">
      <c r="A27" s="118"/>
      <c r="B27" s="122"/>
      <c r="C27" s="69" t="s">
        <v>92</v>
      </c>
      <c r="D27" s="70">
        <f t="shared" si="0"/>
        <v>1179428.5407407407</v>
      </c>
      <c r="E27" s="70">
        <f t="shared" si="17"/>
        <v>135</v>
      </c>
      <c r="F27" s="70">
        <f t="shared" si="17"/>
        <v>159222853</v>
      </c>
      <c r="G27" s="70">
        <f t="shared" si="6"/>
        <v>1158408.7764705883</v>
      </c>
      <c r="H27" s="70">
        <v>85</v>
      </c>
      <c r="I27" s="70">
        <v>98464746</v>
      </c>
      <c r="J27" s="70">
        <f t="shared" si="2"/>
        <v>1215162.1399999999</v>
      </c>
      <c r="K27" s="70">
        <v>50</v>
      </c>
      <c r="L27" s="71">
        <v>60758107</v>
      </c>
      <c r="M27" s="118"/>
      <c r="N27" s="122"/>
      <c r="O27" s="69" t="s">
        <v>92</v>
      </c>
      <c r="P27" s="70">
        <f t="shared" si="7"/>
        <v>19833.909519026685</v>
      </c>
      <c r="Q27" s="70">
        <v>3166.08</v>
      </c>
      <c r="R27" s="70">
        <f t="shared" si="8"/>
        <v>753548931</v>
      </c>
      <c r="S27" s="70">
        <f t="shared" si="9"/>
        <v>22490.967543682218</v>
      </c>
      <c r="T27" s="70">
        <v>1285.42</v>
      </c>
      <c r="U27" s="70">
        <v>346924074</v>
      </c>
      <c r="V27" s="72">
        <f t="shared" si="10"/>
        <v>18017.730250389486</v>
      </c>
      <c r="W27" s="70">
        <v>1880.67</v>
      </c>
      <c r="X27" s="71">
        <v>406624857</v>
      </c>
      <c r="Y27" s="118"/>
      <c r="Z27" s="122"/>
      <c r="AA27" s="69" t="s">
        <v>92</v>
      </c>
      <c r="AB27" s="70">
        <f t="shared" si="11"/>
        <v>136683.96153846153</v>
      </c>
      <c r="AC27" s="70">
        <f t="shared" si="18"/>
        <v>26</v>
      </c>
      <c r="AD27" s="70">
        <f t="shared" si="18"/>
        <v>3553783</v>
      </c>
      <c r="AE27" s="70">
        <f t="shared" si="12"/>
        <v>147436.16666666666</v>
      </c>
      <c r="AF27" s="70">
        <v>18</v>
      </c>
      <c r="AG27" s="70">
        <v>2653851</v>
      </c>
      <c r="AH27" s="70">
        <f>AJ27/AI27</f>
        <v>112491.5</v>
      </c>
      <c r="AI27" s="70">
        <v>8</v>
      </c>
      <c r="AJ27" s="71">
        <v>899932</v>
      </c>
      <c r="AK27" s="118"/>
      <c r="AL27" s="122"/>
      <c r="AM27" s="69" t="s">
        <v>92</v>
      </c>
      <c r="AN27" s="70">
        <f t="shared" si="14"/>
        <v>889089.125</v>
      </c>
      <c r="AO27" s="70">
        <f t="shared" si="19"/>
        <v>8</v>
      </c>
      <c r="AP27" s="70">
        <f t="shared" si="19"/>
        <v>7112713</v>
      </c>
      <c r="AQ27" s="70">
        <f t="shared" si="15"/>
        <v>1021558.6</v>
      </c>
      <c r="AR27" s="70">
        <v>5</v>
      </c>
      <c r="AS27" s="70">
        <v>5107793</v>
      </c>
      <c r="AT27" s="70">
        <f t="shared" si="16"/>
        <v>668306.66666666663</v>
      </c>
      <c r="AU27" s="70">
        <v>3</v>
      </c>
      <c r="AV27" s="71">
        <v>2004920</v>
      </c>
    </row>
    <row r="28" spans="1:48" ht="24" customHeight="1">
      <c r="A28" s="119"/>
      <c r="B28" s="123"/>
      <c r="C28" s="69" t="s">
        <v>93</v>
      </c>
      <c r="D28" s="70">
        <f t="shared" si="0"/>
        <v>859150.8823529412</v>
      </c>
      <c r="E28" s="70">
        <f t="shared" si="17"/>
        <v>17</v>
      </c>
      <c r="F28" s="70">
        <f t="shared" si="17"/>
        <v>14605565</v>
      </c>
      <c r="G28" s="70">
        <f t="shared" si="6"/>
        <v>654841.19999999995</v>
      </c>
      <c r="H28" s="70">
        <v>10</v>
      </c>
      <c r="I28" s="70">
        <v>6548412</v>
      </c>
      <c r="J28" s="70">
        <f t="shared" si="2"/>
        <v>1151021.857142857</v>
      </c>
      <c r="K28" s="70">
        <v>7</v>
      </c>
      <c r="L28" s="71">
        <v>8057153</v>
      </c>
      <c r="M28" s="119"/>
      <c r="N28" s="123"/>
      <c r="O28" s="69" t="s">
        <v>93</v>
      </c>
      <c r="P28" s="70">
        <f t="shared" si="7"/>
        <v>17619.793330382745</v>
      </c>
      <c r="Q28" s="70">
        <v>519.66999999999996</v>
      </c>
      <c r="R28" s="70">
        <f t="shared" si="8"/>
        <v>109877736</v>
      </c>
      <c r="S28" s="70">
        <f t="shared" si="9"/>
        <v>19161.674851098363</v>
      </c>
      <c r="T28" s="70">
        <v>242.33</v>
      </c>
      <c r="U28" s="70">
        <v>55721384</v>
      </c>
      <c r="V28" s="72">
        <f t="shared" si="10"/>
        <v>16273.137898292049</v>
      </c>
      <c r="W28" s="70">
        <v>277.33</v>
      </c>
      <c r="X28" s="71">
        <v>54156352</v>
      </c>
      <c r="Y28" s="119"/>
      <c r="Z28" s="123"/>
      <c r="AA28" s="69" t="s">
        <v>93</v>
      </c>
      <c r="AB28" s="70">
        <f t="shared" si="11"/>
        <v>168424</v>
      </c>
      <c r="AC28" s="70">
        <f t="shared" si="18"/>
        <v>2</v>
      </c>
      <c r="AD28" s="70">
        <f t="shared" si="18"/>
        <v>336848</v>
      </c>
      <c r="AE28" s="70">
        <f t="shared" si="12"/>
        <v>172034</v>
      </c>
      <c r="AF28" s="70">
        <v>1</v>
      </c>
      <c r="AG28" s="70">
        <v>172034</v>
      </c>
      <c r="AH28" s="70">
        <f>AJ28/AI28</f>
        <v>164814</v>
      </c>
      <c r="AI28" s="70">
        <v>1</v>
      </c>
      <c r="AJ28" s="71">
        <v>164814</v>
      </c>
      <c r="AK28" s="119"/>
      <c r="AL28" s="123"/>
      <c r="AM28" s="69" t="s">
        <v>93</v>
      </c>
      <c r="AN28" s="70">
        <f t="shared" si="14"/>
        <v>886458</v>
      </c>
      <c r="AO28" s="70">
        <f t="shared" si="19"/>
        <v>2</v>
      </c>
      <c r="AP28" s="70">
        <f t="shared" si="19"/>
        <v>1772916</v>
      </c>
      <c r="AQ28" s="70">
        <f t="shared" si="15"/>
        <v>886458</v>
      </c>
      <c r="AR28" s="70">
        <v>2</v>
      </c>
      <c r="AS28" s="70">
        <v>1772916</v>
      </c>
      <c r="AT28" s="70">
        <v>0</v>
      </c>
      <c r="AU28" s="70">
        <v>0</v>
      </c>
      <c r="AV28" s="71">
        <v>0</v>
      </c>
    </row>
    <row r="29" spans="1:48" ht="28.9" customHeight="1">
      <c r="A29" s="124" t="s">
        <v>182</v>
      </c>
      <c r="B29" s="128" t="s">
        <v>193</v>
      </c>
      <c r="C29" s="63" t="s">
        <v>76</v>
      </c>
      <c r="D29" s="64">
        <f t="shared" si="0"/>
        <v>1386723.910723849</v>
      </c>
      <c r="E29" s="64">
        <f>SUM(E30:E38)</f>
        <v>69089</v>
      </c>
      <c r="F29" s="64">
        <f>SUM(F30:F38)</f>
        <v>95807368268</v>
      </c>
      <c r="G29" s="64">
        <f t="shared" si="6"/>
        <v>1406730.302057683</v>
      </c>
      <c r="H29" s="64">
        <f>SUM(H30:H38)</f>
        <v>35331</v>
      </c>
      <c r="I29" s="64">
        <f>SUM(I30:I38)</f>
        <v>49701188302</v>
      </c>
      <c r="J29" s="64">
        <f t="shared" si="2"/>
        <v>1365785.2943302328</v>
      </c>
      <c r="K29" s="64">
        <f>SUM(K30:K38)</f>
        <v>33758</v>
      </c>
      <c r="L29" s="65">
        <f>SUM(L30:L38)</f>
        <v>46106179966</v>
      </c>
      <c r="M29" s="124" t="s">
        <v>184</v>
      </c>
      <c r="N29" s="128" t="s">
        <v>193</v>
      </c>
      <c r="O29" s="63" t="s">
        <v>76</v>
      </c>
      <c r="P29" s="64">
        <f>R29/Q29/12</f>
        <v>17785.370713357443</v>
      </c>
      <c r="Q29" s="64">
        <v>1453499.33</v>
      </c>
      <c r="R29" s="64">
        <f>SUM(R30:R38)</f>
        <v>310212292988</v>
      </c>
      <c r="S29" s="64">
        <f>U29/T29/12</f>
        <v>19010.459671098586</v>
      </c>
      <c r="T29" s="64">
        <v>668559</v>
      </c>
      <c r="U29" s="64">
        <f>SUM(U30:U38)</f>
        <v>152515366887</v>
      </c>
      <c r="V29" s="64">
        <f>X29/W29/12</f>
        <v>16741.922928608685</v>
      </c>
      <c r="W29" s="64">
        <v>784940.33</v>
      </c>
      <c r="X29" s="65">
        <f>SUM(X30:X38)</f>
        <v>157696926101</v>
      </c>
      <c r="Y29" s="124" t="s">
        <v>185</v>
      </c>
      <c r="Z29" s="128" t="s">
        <v>193</v>
      </c>
      <c r="AA29" s="63" t="s">
        <v>76</v>
      </c>
      <c r="AB29" s="64">
        <f t="shared" si="11"/>
        <v>108451.36921448019</v>
      </c>
      <c r="AC29" s="64">
        <f>SUM(AC30:AC38)</f>
        <v>19834</v>
      </c>
      <c r="AD29" s="64">
        <f>SUM(AD30:AD38)</f>
        <v>2151024457</v>
      </c>
      <c r="AE29" s="64">
        <f t="shared" si="12"/>
        <v>123574.4477066034</v>
      </c>
      <c r="AF29" s="64">
        <f>SUM(AF30:AF38)</f>
        <v>10116</v>
      </c>
      <c r="AG29" s="64">
        <f>SUM(AG30:AG38)</f>
        <v>1250079113</v>
      </c>
      <c r="AH29" s="64">
        <f t="shared" si="13"/>
        <v>92708.926116484872</v>
      </c>
      <c r="AI29" s="64">
        <f>SUM(AI30:AI38)</f>
        <v>9718</v>
      </c>
      <c r="AJ29" s="65">
        <f>SUM(AJ30:AJ38)</f>
        <v>900945344</v>
      </c>
      <c r="AK29" s="124" t="s">
        <v>151</v>
      </c>
      <c r="AL29" s="128" t="s">
        <v>193</v>
      </c>
      <c r="AM29" s="63" t="s">
        <v>76</v>
      </c>
      <c r="AN29" s="64">
        <f t="shared" si="14"/>
        <v>744016.86766885454</v>
      </c>
      <c r="AO29" s="64">
        <f>SUM(AO30:AO38)</f>
        <v>4723</v>
      </c>
      <c r="AP29" s="64">
        <f>SUM(AP30:AP38)</f>
        <v>3513991666</v>
      </c>
      <c r="AQ29" s="64">
        <f t="shared" si="15"/>
        <v>778237.64181137213</v>
      </c>
      <c r="AR29" s="64">
        <f>SUM(AR30:AR38)</f>
        <v>2937</v>
      </c>
      <c r="AS29" s="64">
        <f>SUM(AS30:AS38)</f>
        <v>2285683954</v>
      </c>
      <c r="AT29" s="64">
        <f t="shared" si="16"/>
        <v>687742.27995520714</v>
      </c>
      <c r="AU29" s="64">
        <f>SUM(AU30:AU38)</f>
        <v>1786</v>
      </c>
      <c r="AV29" s="65">
        <f>SUM(AV30:AV38)</f>
        <v>1228307712</v>
      </c>
    </row>
    <row r="30" spans="1:48" ht="28.9" customHeight="1">
      <c r="A30" s="125"/>
      <c r="B30" s="129"/>
      <c r="C30" s="69" t="s">
        <v>136</v>
      </c>
      <c r="D30" s="70">
        <v>0</v>
      </c>
      <c r="E30" s="70">
        <f t="shared" ref="E30:F38" si="20">H30+K30</f>
        <v>0</v>
      </c>
      <c r="F30" s="70">
        <f t="shared" si="20"/>
        <v>0</v>
      </c>
      <c r="G30" s="70">
        <v>0</v>
      </c>
      <c r="H30" s="70">
        <v>0</v>
      </c>
      <c r="I30" s="70">
        <v>0</v>
      </c>
      <c r="J30" s="70">
        <v>0</v>
      </c>
      <c r="K30" s="70">
        <v>0</v>
      </c>
      <c r="L30" s="71">
        <v>0</v>
      </c>
      <c r="M30" s="125"/>
      <c r="N30" s="129"/>
      <c r="O30" s="69" t="s">
        <v>136</v>
      </c>
      <c r="P30" s="70">
        <v>0</v>
      </c>
      <c r="Q30" s="70">
        <v>0</v>
      </c>
      <c r="R30" s="70">
        <v>0</v>
      </c>
      <c r="S30" s="70">
        <v>0</v>
      </c>
      <c r="T30" s="70">
        <v>0</v>
      </c>
      <c r="U30" s="70">
        <v>0</v>
      </c>
      <c r="V30" s="70">
        <v>0</v>
      </c>
      <c r="W30" s="70">
        <v>0</v>
      </c>
      <c r="X30" s="71">
        <v>0</v>
      </c>
      <c r="Y30" s="125"/>
      <c r="Z30" s="129"/>
      <c r="AA30" s="69" t="s">
        <v>136</v>
      </c>
      <c r="AB30" s="70">
        <v>0</v>
      </c>
      <c r="AC30" s="70">
        <f t="shared" ref="AC30:AD38" si="21">AF30+AI30</f>
        <v>0</v>
      </c>
      <c r="AD30" s="70">
        <f t="shared" si="21"/>
        <v>0</v>
      </c>
      <c r="AE30" s="70">
        <v>0</v>
      </c>
      <c r="AF30" s="70">
        <v>0</v>
      </c>
      <c r="AG30" s="70">
        <v>0</v>
      </c>
      <c r="AH30" s="70">
        <v>0</v>
      </c>
      <c r="AI30" s="70">
        <v>0</v>
      </c>
      <c r="AJ30" s="71">
        <v>0</v>
      </c>
      <c r="AK30" s="125"/>
      <c r="AL30" s="129"/>
      <c r="AM30" s="69" t="s">
        <v>136</v>
      </c>
      <c r="AN30" s="70">
        <v>0</v>
      </c>
      <c r="AO30" s="70">
        <f t="shared" ref="AO30:AP38" si="22">AR30+AU30</f>
        <v>0</v>
      </c>
      <c r="AP30" s="70">
        <f t="shared" si="22"/>
        <v>0</v>
      </c>
      <c r="AQ30" s="70">
        <v>0</v>
      </c>
      <c r="AR30" s="70">
        <v>0</v>
      </c>
      <c r="AS30" s="70">
        <v>0</v>
      </c>
      <c r="AT30" s="70">
        <v>0</v>
      </c>
      <c r="AU30" s="70">
        <v>0</v>
      </c>
      <c r="AV30" s="71">
        <v>0</v>
      </c>
    </row>
    <row r="31" spans="1:48" ht="28.9" customHeight="1">
      <c r="A31" s="125"/>
      <c r="B31" s="129"/>
      <c r="C31" s="69" t="s">
        <v>112</v>
      </c>
      <c r="D31" s="70">
        <f t="shared" si="0"/>
        <v>1310885.5</v>
      </c>
      <c r="E31" s="70">
        <f t="shared" si="20"/>
        <v>2</v>
      </c>
      <c r="F31" s="70">
        <f t="shared" si="20"/>
        <v>2621771</v>
      </c>
      <c r="G31" s="70">
        <v>0</v>
      </c>
      <c r="H31" s="70">
        <v>0</v>
      </c>
      <c r="I31" s="70">
        <v>0</v>
      </c>
      <c r="J31" s="70">
        <f t="shared" si="2"/>
        <v>1310885.5</v>
      </c>
      <c r="K31" s="70">
        <v>2</v>
      </c>
      <c r="L31" s="71">
        <v>2621771</v>
      </c>
      <c r="M31" s="125"/>
      <c r="N31" s="129"/>
      <c r="O31" s="69" t="s">
        <v>112</v>
      </c>
      <c r="P31" s="70">
        <v>0</v>
      </c>
      <c r="Q31" s="70">
        <v>0</v>
      </c>
      <c r="R31" s="70">
        <v>0</v>
      </c>
      <c r="S31" s="70">
        <v>0</v>
      </c>
      <c r="T31" s="70">
        <v>0</v>
      </c>
      <c r="U31" s="70">
        <v>0</v>
      </c>
      <c r="V31" s="70">
        <v>0</v>
      </c>
      <c r="W31" s="70">
        <v>0</v>
      </c>
      <c r="X31" s="71">
        <v>0</v>
      </c>
      <c r="Y31" s="125"/>
      <c r="Z31" s="129"/>
      <c r="AA31" s="69" t="s">
        <v>112</v>
      </c>
      <c r="AB31" s="70">
        <v>0</v>
      </c>
      <c r="AC31" s="70">
        <f t="shared" si="21"/>
        <v>0</v>
      </c>
      <c r="AD31" s="70">
        <f t="shared" si="21"/>
        <v>0</v>
      </c>
      <c r="AE31" s="70">
        <v>0</v>
      </c>
      <c r="AF31" s="70">
        <v>0</v>
      </c>
      <c r="AG31" s="70">
        <v>0</v>
      </c>
      <c r="AH31" s="70">
        <v>0</v>
      </c>
      <c r="AI31" s="70">
        <v>0</v>
      </c>
      <c r="AJ31" s="71">
        <v>0</v>
      </c>
      <c r="AK31" s="125"/>
      <c r="AL31" s="129"/>
      <c r="AM31" s="69" t="s">
        <v>112</v>
      </c>
      <c r="AN31" s="70">
        <v>0</v>
      </c>
      <c r="AO31" s="70">
        <f t="shared" si="22"/>
        <v>0</v>
      </c>
      <c r="AP31" s="70">
        <f t="shared" si="22"/>
        <v>0</v>
      </c>
      <c r="AQ31" s="70">
        <v>0</v>
      </c>
      <c r="AR31" s="70">
        <v>0</v>
      </c>
      <c r="AS31" s="70">
        <v>0</v>
      </c>
      <c r="AT31" s="70">
        <v>0</v>
      </c>
      <c r="AU31" s="70">
        <v>0</v>
      </c>
      <c r="AV31" s="71">
        <v>0</v>
      </c>
    </row>
    <row r="32" spans="1:48" ht="28.9" customHeight="1">
      <c r="A32" s="125"/>
      <c r="B32" s="129"/>
      <c r="C32" s="69" t="s">
        <v>113</v>
      </c>
      <c r="D32" s="70">
        <f t="shared" si="0"/>
        <v>1384817.3057142857</v>
      </c>
      <c r="E32" s="70">
        <f t="shared" si="20"/>
        <v>350</v>
      </c>
      <c r="F32" s="70">
        <f t="shared" si="20"/>
        <v>484686057</v>
      </c>
      <c r="G32" s="70">
        <f t="shared" si="6"/>
        <v>1367552.2845528456</v>
      </c>
      <c r="H32" s="70">
        <v>123</v>
      </c>
      <c r="I32" s="70">
        <v>168208931</v>
      </c>
      <c r="J32" s="70">
        <f t="shared" si="2"/>
        <v>1394172.3612334803</v>
      </c>
      <c r="K32" s="70">
        <v>227</v>
      </c>
      <c r="L32" s="71">
        <v>316477126</v>
      </c>
      <c r="M32" s="125"/>
      <c r="N32" s="129"/>
      <c r="O32" s="69" t="s">
        <v>113</v>
      </c>
      <c r="P32" s="70">
        <v>0</v>
      </c>
      <c r="Q32" s="70">
        <v>0</v>
      </c>
      <c r="R32" s="70">
        <v>0</v>
      </c>
      <c r="S32" s="70">
        <v>0</v>
      </c>
      <c r="T32" s="70">
        <v>0</v>
      </c>
      <c r="U32" s="70">
        <v>0</v>
      </c>
      <c r="V32" s="70">
        <v>0</v>
      </c>
      <c r="W32" s="70">
        <v>0</v>
      </c>
      <c r="X32" s="71">
        <v>0</v>
      </c>
      <c r="Y32" s="125"/>
      <c r="Z32" s="129"/>
      <c r="AA32" s="69" t="s">
        <v>113</v>
      </c>
      <c r="AB32" s="70">
        <v>0</v>
      </c>
      <c r="AC32" s="70">
        <f t="shared" si="21"/>
        <v>0</v>
      </c>
      <c r="AD32" s="70">
        <f t="shared" si="21"/>
        <v>0</v>
      </c>
      <c r="AE32" s="70">
        <v>0</v>
      </c>
      <c r="AF32" s="70">
        <v>0</v>
      </c>
      <c r="AG32" s="70">
        <v>0</v>
      </c>
      <c r="AH32" s="70">
        <v>0</v>
      </c>
      <c r="AI32" s="70">
        <v>0</v>
      </c>
      <c r="AJ32" s="71">
        <v>0</v>
      </c>
      <c r="AK32" s="125"/>
      <c r="AL32" s="129"/>
      <c r="AM32" s="69" t="s">
        <v>113</v>
      </c>
      <c r="AN32" s="70">
        <v>0</v>
      </c>
      <c r="AO32" s="70">
        <f t="shared" si="22"/>
        <v>0</v>
      </c>
      <c r="AP32" s="70">
        <f t="shared" si="22"/>
        <v>0</v>
      </c>
      <c r="AQ32" s="70">
        <v>0</v>
      </c>
      <c r="AR32" s="70">
        <v>0</v>
      </c>
      <c r="AS32" s="70">
        <v>0</v>
      </c>
      <c r="AT32" s="70">
        <v>0</v>
      </c>
      <c r="AU32" s="70">
        <v>0</v>
      </c>
      <c r="AV32" s="71">
        <v>0</v>
      </c>
    </row>
    <row r="33" spans="1:48" ht="28.9" customHeight="1">
      <c r="A33" s="125"/>
      <c r="B33" s="129"/>
      <c r="C33" s="69" t="s">
        <v>114</v>
      </c>
      <c r="D33" s="70">
        <f t="shared" si="0"/>
        <v>1653213.7805444887</v>
      </c>
      <c r="E33" s="70">
        <f t="shared" si="20"/>
        <v>3012</v>
      </c>
      <c r="F33" s="70">
        <f t="shared" si="20"/>
        <v>4979479907</v>
      </c>
      <c r="G33" s="70">
        <f t="shared" si="6"/>
        <v>1627138.6291079812</v>
      </c>
      <c r="H33" s="70">
        <v>1278</v>
      </c>
      <c r="I33" s="70">
        <v>2079483168</v>
      </c>
      <c r="J33" s="70">
        <f t="shared" si="2"/>
        <v>1672431.7987312572</v>
      </c>
      <c r="K33" s="70">
        <v>1734</v>
      </c>
      <c r="L33" s="71">
        <v>2899996739</v>
      </c>
      <c r="M33" s="125"/>
      <c r="N33" s="129"/>
      <c r="O33" s="69" t="s">
        <v>114</v>
      </c>
      <c r="P33" s="70">
        <v>0</v>
      </c>
      <c r="Q33" s="70">
        <v>0</v>
      </c>
      <c r="R33" s="70">
        <v>0</v>
      </c>
      <c r="S33" s="70">
        <v>0</v>
      </c>
      <c r="T33" s="70">
        <v>0</v>
      </c>
      <c r="U33" s="70">
        <v>0</v>
      </c>
      <c r="V33" s="70">
        <v>0</v>
      </c>
      <c r="W33" s="70">
        <v>0</v>
      </c>
      <c r="X33" s="71">
        <v>0</v>
      </c>
      <c r="Y33" s="125"/>
      <c r="Z33" s="129"/>
      <c r="AA33" s="69" t="s">
        <v>114</v>
      </c>
      <c r="AB33" s="70">
        <v>0</v>
      </c>
      <c r="AC33" s="70">
        <f t="shared" si="21"/>
        <v>0</v>
      </c>
      <c r="AD33" s="70">
        <f t="shared" si="21"/>
        <v>0</v>
      </c>
      <c r="AE33" s="70">
        <v>0</v>
      </c>
      <c r="AF33" s="70">
        <v>0</v>
      </c>
      <c r="AG33" s="70">
        <v>0</v>
      </c>
      <c r="AH33" s="70">
        <v>0</v>
      </c>
      <c r="AI33" s="70">
        <v>0</v>
      </c>
      <c r="AJ33" s="71">
        <v>0</v>
      </c>
      <c r="AK33" s="125"/>
      <c r="AL33" s="129"/>
      <c r="AM33" s="69" t="s">
        <v>114</v>
      </c>
      <c r="AN33" s="70">
        <v>0</v>
      </c>
      <c r="AO33" s="70">
        <f t="shared" si="22"/>
        <v>0</v>
      </c>
      <c r="AP33" s="70">
        <f t="shared" si="22"/>
        <v>0</v>
      </c>
      <c r="AQ33" s="70">
        <v>0</v>
      </c>
      <c r="AR33" s="70">
        <v>0</v>
      </c>
      <c r="AS33" s="70">
        <v>0</v>
      </c>
      <c r="AT33" s="70">
        <v>0</v>
      </c>
      <c r="AU33" s="70">
        <v>0</v>
      </c>
      <c r="AV33" s="71">
        <v>0</v>
      </c>
    </row>
    <row r="34" spans="1:48" ht="28.9" customHeight="1">
      <c r="A34" s="125"/>
      <c r="B34" s="129"/>
      <c r="C34" s="69" t="s">
        <v>115</v>
      </c>
      <c r="D34" s="70">
        <f t="shared" si="0"/>
        <v>1610538.9760048853</v>
      </c>
      <c r="E34" s="70">
        <f t="shared" si="20"/>
        <v>27839</v>
      </c>
      <c r="F34" s="70">
        <f t="shared" si="20"/>
        <v>44835794553</v>
      </c>
      <c r="G34" s="70">
        <f t="shared" si="6"/>
        <v>1630351.0206364805</v>
      </c>
      <c r="H34" s="70">
        <v>13229</v>
      </c>
      <c r="I34" s="70">
        <v>21567913652</v>
      </c>
      <c r="J34" s="70">
        <f t="shared" si="2"/>
        <v>1592599.650992471</v>
      </c>
      <c r="K34" s="70">
        <v>14610</v>
      </c>
      <c r="L34" s="71">
        <v>23267880901</v>
      </c>
      <c r="M34" s="125"/>
      <c r="N34" s="129"/>
      <c r="O34" s="69" t="s">
        <v>115</v>
      </c>
      <c r="P34" s="70">
        <v>0</v>
      </c>
      <c r="Q34" s="70">
        <v>0</v>
      </c>
      <c r="R34" s="70">
        <v>0</v>
      </c>
      <c r="S34" s="70">
        <v>0</v>
      </c>
      <c r="T34" s="70">
        <v>0</v>
      </c>
      <c r="U34" s="70">
        <v>0</v>
      </c>
      <c r="V34" s="70">
        <v>0</v>
      </c>
      <c r="W34" s="70">
        <v>0</v>
      </c>
      <c r="X34" s="71">
        <v>0</v>
      </c>
      <c r="Y34" s="125"/>
      <c r="Z34" s="129"/>
      <c r="AA34" s="69" t="s">
        <v>115</v>
      </c>
      <c r="AB34" s="70">
        <v>0</v>
      </c>
      <c r="AC34" s="70">
        <f t="shared" si="21"/>
        <v>0</v>
      </c>
      <c r="AD34" s="70">
        <f t="shared" si="21"/>
        <v>0</v>
      </c>
      <c r="AE34" s="70">
        <v>0</v>
      </c>
      <c r="AF34" s="70">
        <v>0</v>
      </c>
      <c r="AG34" s="70">
        <v>0</v>
      </c>
      <c r="AH34" s="70">
        <v>0</v>
      </c>
      <c r="AI34" s="70">
        <v>0</v>
      </c>
      <c r="AJ34" s="71">
        <v>0</v>
      </c>
      <c r="AK34" s="125"/>
      <c r="AL34" s="129"/>
      <c r="AM34" s="69" t="s">
        <v>115</v>
      </c>
      <c r="AN34" s="70">
        <v>0</v>
      </c>
      <c r="AO34" s="70">
        <f t="shared" si="22"/>
        <v>0</v>
      </c>
      <c r="AP34" s="70">
        <f t="shared" si="22"/>
        <v>0</v>
      </c>
      <c r="AQ34" s="70">
        <v>0</v>
      </c>
      <c r="AR34" s="70">
        <v>0</v>
      </c>
      <c r="AS34" s="70">
        <v>0</v>
      </c>
      <c r="AT34" s="70">
        <v>0</v>
      </c>
      <c r="AU34" s="70">
        <v>0</v>
      </c>
      <c r="AV34" s="71">
        <v>0</v>
      </c>
    </row>
    <row r="35" spans="1:48" ht="28.9" customHeight="1">
      <c r="A35" s="125"/>
      <c r="B35" s="129"/>
      <c r="C35" s="69" t="s">
        <v>116</v>
      </c>
      <c r="D35" s="70">
        <f t="shared" si="0"/>
        <v>1343412.4993442483</v>
      </c>
      <c r="E35" s="70">
        <f t="shared" si="20"/>
        <v>23637</v>
      </c>
      <c r="F35" s="70">
        <f t="shared" si="20"/>
        <v>31754241247</v>
      </c>
      <c r="G35" s="70">
        <f t="shared" si="6"/>
        <v>1441156.6023978468</v>
      </c>
      <c r="H35" s="70">
        <v>12261</v>
      </c>
      <c r="I35" s="70">
        <v>17670021102</v>
      </c>
      <c r="J35" s="70">
        <f t="shared" si="2"/>
        <v>1238064.3587376934</v>
      </c>
      <c r="K35" s="70">
        <v>11376</v>
      </c>
      <c r="L35" s="71">
        <v>14084220145</v>
      </c>
      <c r="M35" s="125"/>
      <c r="N35" s="129"/>
      <c r="O35" s="69" t="s">
        <v>116</v>
      </c>
      <c r="P35" s="70">
        <f t="shared" ref="P35:P38" si="23">R35/Q35/12</f>
        <v>17276.35966213432</v>
      </c>
      <c r="Q35" s="70">
        <v>20225</v>
      </c>
      <c r="R35" s="70">
        <f t="shared" ref="R35:R38" si="24">U35+X35</f>
        <v>4192972490</v>
      </c>
      <c r="S35" s="70">
        <f t="shared" ref="S35:S38" si="25">U35/T35/12</f>
        <v>17181.10333455478</v>
      </c>
      <c r="T35" s="70">
        <v>8187</v>
      </c>
      <c r="U35" s="70">
        <v>1687940316</v>
      </c>
      <c r="V35" s="70">
        <f t="shared" ref="V35:V38" si="26">X35/W35/12</f>
        <v>17341.143143933103</v>
      </c>
      <c r="W35" s="70">
        <v>12038</v>
      </c>
      <c r="X35" s="71">
        <v>2505032174</v>
      </c>
      <c r="Y35" s="125"/>
      <c r="Z35" s="129"/>
      <c r="AA35" s="69" t="s">
        <v>116</v>
      </c>
      <c r="AB35" s="70">
        <v>0</v>
      </c>
      <c r="AC35" s="70">
        <f t="shared" si="21"/>
        <v>0</v>
      </c>
      <c r="AD35" s="70">
        <f t="shared" si="21"/>
        <v>0</v>
      </c>
      <c r="AE35" s="70">
        <v>0</v>
      </c>
      <c r="AF35" s="70">
        <v>0</v>
      </c>
      <c r="AG35" s="70">
        <v>0</v>
      </c>
      <c r="AH35" s="70">
        <v>0</v>
      </c>
      <c r="AI35" s="70">
        <v>0</v>
      </c>
      <c r="AJ35" s="71">
        <v>0</v>
      </c>
      <c r="AK35" s="125"/>
      <c r="AL35" s="129"/>
      <c r="AM35" s="69" t="s">
        <v>116</v>
      </c>
      <c r="AN35" s="70">
        <f t="shared" si="14"/>
        <v>1596601.8275862068</v>
      </c>
      <c r="AO35" s="70">
        <f>AR35+AU35</f>
        <v>58</v>
      </c>
      <c r="AP35" s="70">
        <f t="shared" si="22"/>
        <v>92602906</v>
      </c>
      <c r="AQ35" s="70">
        <f t="shared" si="15"/>
        <v>1548205.1515151516</v>
      </c>
      <c r="AR35" s="70">
        <v>33</v>
      </c>
      <c r="AS35" s="70">
        <v>51090770</v>
      </c>
      <c r="AT35" s="70">
        <f t="shared" si="16"/>
        <v>1660485.44</v>
      </c>
      <c r="AU35" s="70">
        <v>25</v>
      </c>
      <c r="AV35" s="71">
        <v>41512136</v>
      </c>
    </row>
    <row r="36" spans="1:48" ht="28.9" customHeight="1">
      <c r="A36" s="125"/>
      <c r="B36" s="129"/>
      <c r="C36" s="69" t="s">
        <v>117</v>
      </c>
      <c r="D36" s="70">
        <f t="shared" si="0"/>
        <v>1051026.5424699371</v>
      </c>
      <c r="E36" s="70">
        <f t="shared" si="20"/>
        <v>10478</v>
      </c>
      <c r="F36" s="70">
        <f t="shared" si="20"/>
        <v>11012656112</v>
      </c>
      <c r="G36" s="70">
        <f t="shared" si="6"/>
        <v>1061762.1019880394</v>
      </c>
      <c r="H36" s="70">
        <v>6187</v>
      </c>
      <c r="I36" s="70">
        <v>6569122125</v>
      </c>
      <c r="J36" s="70">
        <f t="shared" si="2"/>
        <v>1035547.4218130972</v>
      </c>
      <c r="K36" s="70">
        <v>4291</v>
      </c>
      <c r="L36" s="71">
        <v>4443533987</v>
      </c>
      <c r="M36" s="125"/>
      <c r="N36" s="129"/>
      <c r="O36" s="69" t="s">
        <v>117</v>
      </c>
      <c r="P36" s="70">
        <f t="shared" si="23"/>
        <v>17333.243272122378</v>
      </c>
      <c r="Q36" s="70">
        <v>486900.33</v>
      </c>
      <c r="R36" s="70">
        <f t="shared" si="24"/>
        <v>101274742430</v>
      </c>
      <c r="S36" s="70">
        <f t="shared" si="25"/>
        <v>17994.000652314931</v>
      </c>
      <c r="T36" s="70">
        <v>215672.92</v>
      </c>
      <c r="U36" s="70">
        <v>46569823958</v>
      </c>
      <c r="V36" s="70">
        <f t="shared" si="26"/>
        <v>16807.825720570585</v>
      </c>
      <c r="W36" s="70">
        <v>271227.42</v>
      </c>
      <c r="X36" s="71">
        <v>54704918472</v>
      </c>
      <c r="Y36" s="125"/>
      <c r="Z36" s="129"/>
      <c r="AA36" s="69" t="s">
        <v>117</v>
      </c>
      <c r="AB36" s="70">
        <f t="shared" si="11"/>
        <v>129126.45197585071</v>
      </c>
      <c r="AC36" s="70">
        <f t="shared" si="21"/>
        <v>10932</v>
      </c>
      <c r="AD36" s="70">
        <f t="shared" si="21"/>
        <v>1411610373</v>
      </c>
      <c r="AE36" s="70">
        <f t="shared" si="12"/>
        <v>148542.49671052632</v>
      </c>
      <c r="AF36" s="70">
        <v>5472</v>
      </c>
      <c r="AG36" s="70">
        <v>812824542</v>
      </c>
      <c r="AH36" s="70">
        <f t="shared" si="13"/>
        <v>109667.73461538462</v>
      </c>
      <c r="AI36" s="70">
        <v>5460</v>
      </c>
      <c r="AJ36" s="71">
        <v>598785831</v>
      </c>
      <c r="AK36" s="125"/>
      <c r="AL36" s="129"/>
      <c r="AM36" s="69" t="s">
        <v>117</v>
      </c>
      <c r="AN36" s="70">
        <f t="shared" si="14"/>
        <v>984273.92019027483</v>
      </c>
      <c r="AO36" s="70">
        <f t="shared" si="22"/>
        <v>1892</v>
      </c>
      <c r="AP36" s="70">
        <f t="shared" si="22"/>
        <v>1862246257</v>
      </c>
      <c r="AQ36" s="70">
        <f t="shared" si="15"/>
        <v>1014908.1957264957</v>
      </c>
      <c r="AR36" s="70">
        <v>1170</v>
      </c>
      <c r="AS36" s="70">
        <v>1187442589</v>
      </c>
      <c r="AT36" s="70">
        <f t="shared" si="16"/>
        <v>934631.11911357346</v>
      </c>
      <c r="AU36" s="70">
        <v>722</v>
      </c>
      <c r="AV36" s="71">
        <v>674803668</v>
      </c>
    </row>
    <row r="37" spans="1:48" ht="28.9" customHeight="1">
      <c r="A37" s="126"/>
      <c r="B37" s="130"/>
      <c r="C37" s="69" t="s">
        <v>118</v>
      </c>
      <c r="D37" s="70">
        <f t="shared" si="0"/>
        <v>729286.35404789052</v>
      </c>
      <c r="E37" s="70">
        <f t="shared" si="20"/>
        <v>3508</v>
      </c>
      <c r="F37" s="70">
        <f t="shared" si="20"/>
        <v>2558336530</v>
      </c>
      <c r="G37" s="70">
        <f t="shared" si="6"/>
        <v>731672.65045302815</v>
      </c>
      <c r="H37" s="70">
        <v>2097</v>
      </c>
      <c r="I37" s="70">
        <v>1534317548</v>
      </c>
      <c r="J37" s="70">
        <f t="shared" si="2"/>
        <v>725739.8880226789</v>
      </c>
      <c r="K37" s="70">
        <v>1411</v>
      </c>
      <c r="L37" s="71">
        <v>1024018982</v>
      </c>
      <c r="M37" s="126"/>
      <c r="N37" s="130"/>
      <c r="O37" s="69" t="s">
        <v>118</v>
      </c>
      <c r="P37" s="70">
        <f t="shared" si="23"/>
        <v>18381.472896057614</v>
      </c>
      <c r="Q37" s="70">
        <v>604577.67000000004</v>
      </c>
      <c r="R37" s="70">
        <f t="shared" si="24"/>
        <v>133356336656</v>
      </c>
      <c r="S37" s="70">
        <f t="shared" si="25"/>
        <v>19912.117146335491</v>
      </c>
      <c r="T37" s="70">
        <v>284823.25</v>
      </c>
      <c r="U37" s="70">
        <v>68057207040</v>
      </c>
      <c r="V37" s="70">
        <f t="shared" si="26"/>
        <v>17018.041954405719</v>
      </c>
      <c r="W37" s="70">
        <v>319754.42</v>
      </c>
      <c r="X37" s="71">
        <v>65299129616</v>
      </c>
      <c r="Y37" s="126"/>
      <c r="Z37" s="130"/>
      <c r="AA37" s="69" t="s">
        <v>118</v>
      </c>
      <c r="AB37" s="70">
        <f t="shared" si="11"/>
        <v>87278.68570676494</v>
      </c>
      <c r="AC37" s="70">
        <f t="shared" si="21"/>
        <v>7598</v>
      </c>
      <c r="AD37" s="70">
        <f t="shared" si="21"/>
        <v>663143454</v>
      </c>
      <c r="AE37" s="70">
        <f t="shared" si="12"/>
        <v>99148.71912099015</v>
      </c>
      <c r="AF37" s="70">
        <v>3959</v>
      </c>
      <c r="AG37" s="70">
        <v>392529779</v>
      </c>
      <c r="AH37" s="70">
        <f t="shared" si="13"/>
        <v>74364.846111569117</v>
      </c>
      <c r="AI37" s="70">
        <v>3639</v>
      </c>
      <c r="AJ37" s="71">
        <v>270613675</v>
      </c>
      <c r="AK37" s="126"/>
      <c r="AL37" s="130"/>
      <c r="AM37" s="69" t="s">
        <v>118</v>
      </c>
      <c r="AN37" s="70">
        <f t="shared" si="14"/>
        <v>608907.67015487654</v>
      </c>
      <c r="AO37" s="70">
        <f t="shared" si="22"/>
        <v>2389</v>
      </c>
      <c r="AP37" s="70">
        <f t="shared" si="22"/>
        <v>1454680424</v>
      </c>
      <c r="AQ37" s="70">
        <f t="shared" si="15"/>
        <v>651375.44111776445</v>
      </c>
      <c r="AR37" s="70">
        <v>1503</v>
      </c>
      <c r="AS37" s="70">
        <v>979017288</v>
      </c>
      <c r="AT37" s="70">
        <f t="shared" si="16"/>
        <v>536865.84198645595</v>
      </c>
      <c r="AU37" s="70">
        <v>886</v>
      </c>
      <c r="AV37" s="71">
        <v>475663136</v>
      </c>
    </row>
    <row r="38" spans="1:48" ht="28.9" customHeight="1" thickBot="1">
      <c r="A38" s="127"/>
      <c r="B38" s="131"/>
      <c r="C38" s="73" t="s">
        <v>94</v>
      </c>
      <c r="D38" s="74">
        <f t="shared" si="0"/>
        <v>682707.57034220535</v>
      </c>
      <c r="E38" s="74">
        <f t="shared" si="20"/>
        <v>263</v>
      </c>
      <c r="F38" s="74">
        <f t="shared" si="20"/>
        <v>179552091</v>
      </c>
      <c r="G38" s="74">
        <f t="shared" si="6"/>
        <v>718729.33333333337</v>
      </c>
      <c r="H38" s="74">
        <v>156</v>
      </c>
      <c r="I38" s="74">
        <v>112121776</v>
      </c>
      <c r="J38" s="74">
        <f t="shared" si="2"/>
        <v>630189.85981308413</v>
      </c>
      <c r="K38" s="74">
        <v>107</v>
      </c>
      <c r="L38" s="75">
        <v>67430315</v>
      </c>
      <c r="M38" s="127"/>
      <c r="N38" s="131"/>
      <c r="O38" s="73" t="s">
        <v>94</v>
      </c>
      <c r="P38" s="74">
        <f t="shared" si="23"/>
        <v>17405.161406262847</v>
      </c>
      <c r="Q38" s="74">
        <v>341796.32000000007</v>
      </c>
      <c r="R38" s="74">
        <f t="shared" si="24"/>
        <v>71388241412</v>
      </c>
      <c r="S38" s="74">
        <f t="shared" si="25"/>
        <v>18869.016230178964</v>
      </c>
      <c r="T38" s="74">
        <v>159875.83000000002</v>
      </c>
      <c r="U38" s="74">
        <v>36200395573</v>
      </c>
      <c r="V38" s="74">
        <f t="shared" si="26"/>
        <v>16118.691882351537</v>
      </c>
      <c r="W38" s="74">
        <v>181920.50000000003</v>
      </c>
      <c r="X38" s="75">
        <v>35187845839</v>
      </c>
      <c r="Y38" s="127"/>
      <c r="Z38" s="131"/>
      <c r="AA38" s="73" t="s">
        <v>94</v>
      </c>
      <c r="AB38" s="74">
        <f t="shared" si="11"/>
        <v>58489.746932515336</v>
      </c>
      <c r="AC38" s="74">
        <f t="shared" si="21"/>
        <v>1304</v>
      </c>
      <c r="AD38" s="74">
        <f t="shared" si="21"/>
        <v>76270630</v>
      </c>
      <c r="AE38" s="74">
        <f t="shared" si="12"/>
        <v>65291.667153284674</v>
      </c>
      <c r="AF38" s="74">
        <v>685</v>
      </c>
      <c r="AG38" s="74">
        <v>44724792</v>
      </c>
      <c r="AH38" s="74">
        <f t="shared" si="13"/>
        <v>50962.581583198706</v>
      </c>
      <c r="AI38" s="74">
        <v>619</v>
      </c>
      <c r="AJ38" s="75">
        <v>31545838</v>
      </c>
      <c r="AK38" s="127"/>
      <c r="AL38" s="131"/>
      <c r="AM38" s="73" t="s">
        <v>94</v>
      </c>
      <c r="AN38" s="74">
        <f t="shared" si="14"/>
        <v>272036.6640625</v>
      </c>
      <c r="AO38" s="74">
        <f t="shared" si="22"/>
        <v>384</v>
      </c>
      <c r="AP38" s="74">
        <f t="shared" si="22"/>
        <v>104462079</v>
      </c>
      <c r="AQ38" s="74">
        <f t="shared" si="15"/>
        <v>294949.38095238095</v>
      </c>
      <c r="AR38" s="74">
        <v>231</v>
      </c>
      <c r="AS38" s="74">
        <v>68133307</v>
      </c>
      <c r="AT38" s="74">
        <f t="shared" si="16"/>
        <v>237442.954248366</v>
      </c>
      <c r="AU38" s="74">
        <v>153</v>
      </c>
      <c r="AV38" s="75">
        <v>36328772</v>
      </c>
    </row>
    <row r="39" spans="1:48" s="77" customFormat="1" ht="190.15" customHeight="1">
      <c r="A39" s="132" t="s">
        <v>201</v>
      </c>
      <c r="B39" s="132"/>
      <c r="C39" s="132"/>
      <c r="D39" s="132"/>
      <c r="E39" s="132"/>
      <c r="F39" s="132"/>
      <c r="G39" s="132"/>
      <c r="H39" s="132"/>
      <c r="I39" s="132"/>
      <c r="J39" s="132"/>
      <c r="K39" s="132"/>
      <c r="L39" s="132"/>
      <c r="M39" s="132" t="s">
        <v>200</v>
      </c>
      <c r="N39" s="132"/>
      <c r="O39" s="132"/>
      <c r="P39" s="132"/>
      <c r="Q39" s="132"/>
      <c r="R39" s="132"/>
      <c r="S39" s="132"/>
      <c r="T39" s="132"/>
      <c r="U39" s="132"/>
      <c r="V39" s="132"/>
      <c r="W39" s="132"/>
      <c r="X39" s="132"/>
      <c r="Y39" s="165" t="s">
        <v>205</v>
      </c>
      <c r="Z39" s="132"/>
      <c r="AA39" s="132"/>
      <c r="AB39" s="132"/>
      <c r="AC39" s="132"/>
      <c r="AD39" s="132"/>
      <c r="AE39" s="132"/>
      <c r="AF39" s="132"/>
      <c r="AG39" s="132"/>
      <c r="AH39" s="132"/>
      <c r="AI39" s="132"/>
      <c r="AJ39" s="132"/>
      <c r="AK39" s="132" t="s">
        <v>203</v>
      </c>
      <c r="AL39" s="132"/>
      <c r="AM39" s="132"/>
      <c r="AN39" s="132"/>
      <c r="AO39" s="132"/>
      <c r="AP39" s="132"/>
      <c r="AQ39" s="132"/>
      <c r="AR39" s="132"/>
      <c r="AS39" s="132"/>
      <c r="AT39" s="132"/>
      <c r="AU39" s="132"/>
      <c r="AV39" s="132"/>
    </row>
  </sheetData>
  <mergeCells count="48">
    <mergeCell ref="AK29:AK38"/>
    <mergeCell ref="AL29:AL38"/>
    <mergeCell ref="A39:L39"/>
    <mergeCell ref="M39:X39"/>
    <mergeCell ref="Y39:AJ39"/>
    <mergeCell ref="AK39:AV39"/>
    <mergeCell ref="A29:A38"/>
    <mergeCell ref="B29:B38"/>
    <mergeCell ref="M29:M38"/>
    <mergeCell ref="N29:N38"/>
    <mergeCell ref="Y29:Y38"/>
    <mergeCell ref="Z29:Z38"/>
    <mergeCell ref="Z6:Z28"/>
    <mergeCell ref="AK6:AK28"/>
    <mergeCell ref="AL6:AL28"/>
    <mergeCell ref="D4:F4"/>
    <mergeCell ref="G4:I4"/>
    <mergeCell ref="J4:L4"/>
    <mergeCell ref="P4:R4"/>
    <mergeCell ref="S4:U4"/>
    <mergeCell ref="V4:X4"/>
    <mergeCell ref="Z3:AA5"/>
    <mergeCell ref="A6:A28"/>
    <mergeCell ref="B6:B28"/>
    <mergeCell ref="M6:M28"/>
    <mergeCell ref="N6:N28"/>
    <mergeCell ref="Y6:Y28"/>
    <mergeCell ref="AQ4:AS4"/>
    <mergeCell ref="A1:L1"/>
    <mergeCell ref="M1:X1"/>
    <mergeCell ref="Y1:AJ1"/>
    <mergeCell ref="AK1:AV1"/>
    <mergeCell ref="A3:A5"/>
    <mergeCell ref="B3:C5"/>
    <mergeCell ref="D3:L3"/>
    <mergeCell ref="M3:M5"/>
    <mergeCell ref="N3:O5"/>
    <mergeCell ref="P3:X3"/>
    <mergeCell ref="AN3:AV3"/>
    <mergeCell ref="AB4:AD4"/>
    <mergeCell ref="AT4:AV4"/>
    <mergeCell ref="AE4:AG4"/>
    <mergeCell ref="AH4:AJ4"/>
    <mergeCell ref="AN4:AP4"/>
    <mergeCell ref="Y3:Y5"/>
    <mergeCell ref="AB3:AJ3"/>
    <mergeCell ref="AK3:AK5"/>
    <mergeCell ref="AL3:AM5"/>
  </mergeCells>
  <phoneticPr fontId="14" type="noConversion"/>
  <printOptions horizontalCentered="1"/>
  <pageMargins left="0.15748031496062992" right="0.15748031496062992" top="0.59055118110236227" bottom="0.59055118110236227" header="0.51181102362204722" footer="0.31496062992125984"/>
  <pageSetup paperSize="9" orientation="portrait" r:id="rId1"/>
  <headerFooter alignWithMargins="0"/>
  <rowBreaks count="1" manualBreakCount="1">
    <brk id="28" max="16383" man="1"/>
  </rowBreaks>
  <colBreaks count="3" manualBreakCount="3">
    <brk id="24" max="1048575" man="1"/>
    <brk id="36" max="1048575" man="1"/>
    <brk id="12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V39"/>
  <sheetViews>
    <sheetView view="pageBreakPreview" zoomScale="80" zoomScaleNormal="90" zoomScaleSheetLayoutView="80" workbookViewId="0">
      <selection activeCell="A2" sqref="A2"/>
    </sheetView>
  </sheetViews>
  <sheetFormatPr defaultColWidth="9" defaultRowHeight="16.5"/>
  <cols>
    <col min="1" max="1" width="5.625" style="54" customWidth="1"/>
    <col min="2" max="2" width="3.5" style="54" customWidth="1"/>
    <col min="3" max="3" width="9.5" style="55" customWidth="1"/>
    <col min="4" max="4" width="8.25" style="53" customWidth="1"/>
    <col min="5" max="5" width="6.375" style="53" customWidth="1"/>
    <col min="6" max="6" width="12.75" style="53" customWidth="1"/>
    <col min="7" max="7" width="8.25" style="53" customWidth="1"/>
    <col min="8" max="8" width="6.25" style="53" customWidth="1"/>
    <col min="9" max="9" width="12" style="53" customWidth="1"/>
    <col min="10" max="10" width="8.25" style="53" customWidth="1"/>
    <col min="11" max="11" width="6.25" style="53" customWidth="1"/>
    <col min="12" max="12" width="12" style="53" customWidth="1"/>
    <col min="13" max="13" width="5.625" style="53" customWidth="1"/>
    <col min="14" max="14" width="3.5" style="53" customWidth="1"/>
    <col min="15" max="15" width="9.375" style="56" customWidth="1"/>
    <col min="16" max="16" width="6.75" style="53" customWidth="1"/>
    <col min="17" max="17" width="8" style="53" customWidth="1"/>
    <col min="18" max="18" width="12.5" style="53" customWidth="1"/>
    <col min="19" max="19" width="6.75" style="53" customWidth="1"/>
    <col min="20" max="20" width="7.375" style="53" customWidth="1"/>
    <col min="21" max="21" width="12.5" style="53" customWidth="1"/>
    <col min="22" max="22" width="6.75" style="53" customWidth="1"/>
    <col min="23" max="23" width="7.375" style="53" customWidth="1"/>
    <col min="24" max="24" width="12.5" style="53" customWidth="1"/>
    <col min="25" max="25" width="6.625" style="53" customWidth="1"/>
    <col min="26" max="26" width="4.625" style="53" customWidth="1"/>
    <col min="27" max="27" width="9.375" style="56" customWidth="1"/>
    <col min="28" max="28" width="7.5" style="53" customWidth="1"/>
    <col min="29" max="29" width="7.25" style="53" customWidth="1"/>
    <col min="30" max="30" width="10.75" style="53" customWidth="1"/>
    <col min="31" max="31" width="7.5" style="53" customWidth="1"/>
    <col min="32" max="32" width="7.25" style="53" customWidth="1"/>
    <col min="33" max="33" width="10.75" style="53" customWidth="1"/>
    <col min="34" max="34" width="7.5" style="53" customWidth="1"/>
    <col min="35" max="35" width="7.25" style="53" customWidth="1"/>
    <col min="36" max="36" width="10.75" style="53" customWidth="1"/>
    <col min="37" max="37" width="6.625" style="53" customWidth="1"/>
    <col min="38" max="38" width="4.625" style="53" customWidth="1"/>
    <col min="39" max="39" width="9.375" style="56" customWidth="1"/>
    <col min="40" max="40" width="8.5" style="53" customWidth="1"/>
    <col min="41" max="41" width="6.75" style="53" customWidth="1"/>
    <col min="42" max="42" width="10.75" style="53" customWidth="1"/>
    <col min="43" max="43" width="8.5" style="53" customWidth="1"/>
    <col min="44" max="44" width="6.75" style="53" customWidth="1"/>
    <col min="45" max="45" width="10.75" style="53" customWidth="1"/>
    <col min="46" max="46" width="8.5" style="53" customWidth="1"/>
    <col min="47" max="47" width="6.75" style="53" customWidth="1"/>
    <col min="48" max="48" width="10.75" style="53" customWidth="1"/>
    <col min="49" max="16384" width="9" style="53"/>
  </cols>
  <sheetData>
    <row r="1" spans="1:48" ht="24" customHeight="1">
      <c r="A1" s="112" t="s">
        <v>121</v>
      </c>
      <c r="B1" s="113"/>
      <c r="C1" s="113"/>
      <c r="D1" s="113"/>
      <c r="E1" s="113"/>
      <c r="F1" s="113"/>
      <c r="G1" s="113"/>
      <c r="H1" s="113"/>
      <c r="I1" s="113"/>
      <c r="J1" s="113"/>
      <c r="K1" s="113"/>
      <c r="L1" s="113"/>
      <c r="M1" s="112" t="s">
        <v>119</v>
      </c>
      <c r="N1" s="113"/>
      <c r="O1" s="113"/>
      <c r="P1" s="113"/>
      <c r="Q1" s="113"/>
      <c r="R1" s="113"/>
      <c r="S1" s="113"/>
      <c r="T1" s="113"/>
      <c r="U1" s="113"/>
      <c r="V1" s="113"/>
      <c r="W1" s="113"/>
      <c r="X1" s="113"/>
      <c r="Y1" s="112" t="s">
        <v>123</v>
      </c>
      <c r="Z1" s="113"/>
      <c r="AA1" s="113"/>
      <c r="AB1" s="113"/>
      <c r="AC1" s="113"/>
      <c r="AD1" s="113"/>
      <c r="AE1" s="113"/>
      <c r="AF1" s="113"/>
      <c r="AG1" s="113"/>
      <c r="AH1" s="113"/>
      <c r="AI1" s="113"/>
      <c r="AJ1" s="113"/>
      <c r="AK1" s="112" t="s">
        <v>122</v>
      </c>
      <c r="AL1" s="113"/>
      <c r="AM1" s="113"/>
      <c r="AN1" s="113"/>
      <c r="AO1" s="113"/>
      <c r="AP1" s="113"/>
      <c r="AQ1" s="113"/>
      <c r="AR1" s="113"/>
      <c r="AS1" s="113"/>
      <c r="AT1" s="113"/>
      <c r="AU1" s="113"/>
      <c r="AV1" s="113"/>
    </row>
    <row r="2" spans="1:48" ht="18" customHeight="1" thickBot="1">
      <c r="AM2" s="57"/>
      <c r="AN2" s="58"/>
      <c r="AO2" s="58"/>
    </row>
    <row r="3" spans="1:48" s="87" customFormat="1" ht="27" customHeight="1">
      <c r="A3" s="135" t="s">
        <v>172</v>
      </c>
      <c r="B3" s="141" t="s">
        <v>173</v>
      </c>
      <c r="C3" s="142"/>
      <c r="D3" s="137" t="s">
        <v>195</v>
      </c>
      <c r="E3" s="137"/>
      <c r="F3" s="138"/>
      <c r="G3" s="138"/>
      <c r="H3" s="138"/>
      <c r="I3" s="138"/>
      <c r="J3" s="138"/>
      <c r="K3" s="139"/>
      <c r="L3" s="140"/>
      <c r="M3" s="135" t="s">
        <v>172</v>
      </c>
      <c r="N3" s="141" t="s">
        <v>173</v>
      </c>
      <c r="O3" s="142"/>
      <c r="P3" s="137" t="str">
        <f>D3</f>
        <v>109年</v>
      </c>
      <c r="Q3" s="137"/>
      <c r="R3" s="138"/>
      <c r="S3" s="138"/>
      <c r="T3" s="138"/>
      <c r="U3" s="138"/>
      <c r="V3" s="138"/>
      <c r="W3" s="139"/>
      <c r="X3" s="140"/>
      <c r="Y3" s="135" t="s">
        <v>172</v>
      </c>
      <c r="Z3" s="141" t="s">
        <v>173</v>
      </c>
      <c r="AA3" s="142"/>
      <c r="AB3" s="137" t="str">
        <f>D3</f>
        <v>109年</v>
      </c>
      <c r="AC3" s="137"/>
      <c r="AD3" s="138"/>
      <c r="AE3" s="138"/>
      <c r="AF3" s="138"/>
      <c r="AG3" s="138"/>
      <c r="AH3" s="138"/>
      <c r="AI3" s="139"/>
      <c r="AJ3" s="140"/>
      <c r="AK3" s="135" t="s">
        <v>172</v>
      </c>
      <c r="AL3" s="141" t="s">
        <v>173</v>
      </c>
      <c r="AM3" s="142"/>
      <c r="AN3" s="137" t="str">
        <f>D3</f>
        <v>109年</v>
      </c>
      <c r="AO3" s="137"/>
      <c r="AP3" s="138"/>
      <c r="AQ3" s="138"/>
      <c r="AR3" s="138"/>
      <c r="AS3" s="138"/>
      <c r="AT3" s="138"/>
      <c r="AU3" s="139"/>
      <c r="AV3" s="140"/>
    </row>
    <row r="4" spans="1:48" s="87" customFormat="1" ht="27" customHeight="1">
      <c r="A4" s="136"/>
      <c r="B4" s="143"/>
      <c r="C4" s="144"/>
      <c r="D4" s="134" t="s">
        <v>174</v>
      </c>
      <c r="E4" s="134"/>
      <c r="F4" s="134"/>
      <c r="G4" s="134" t="s">
        <v>175</v>
      </c>
      <c r="H4" s="134"/>
      <c r="I4" s="134"/>
      <c r="J4" s="134" t="s">
        <v>176</v>
      </c>
      <c r="K4" s="147"/>
      <c r="L4" s="148"/>
      <c r="M4" s="136"/>
      <c r="N4" s="143"/>
      <c r="O4" s="144"/>
      <c r="P4" s="134" t="s">
        <v>174</v>
      </c>
      <c r="Q4" s="134"/>
      <c r="R4" s="134"/>
      <c r="S4" s="134" t="s">
        <v>175</v>
      </c>
      <c r="T4" s="134"/>
      <c r="U4" s="134"/>
      <c r="V4" s="134" t="s">
        <v>176</v>
      </c>
      <c r="W4" s="147"/>
      <c r="X4" s="148"/>
      <c r="Y4" s="136"/>
      <c r="Z4" s="143"/>
      <c r="AA4" s="144"/>
      <c r="AB4" s="134" t="s">
        <v>174</v>
      </c>
      <c r="AC4" s="134"/>
      <c r="AD4" s="134"/>
      <c r="AE4" s="134" t="s">
        <v>175</v>
      </c>
      <c r="AF4" s="134"/>
      <c r="AG4" s="134"/>
      <c r="AH4" s="134" t="s">
        <v>176</v>
      </c>
      <c r="AI4" s="147"/>
      <c r="AJ4" s="148"/>
      <c r="AK4" s="136"/>
      <c r="AL4" s="143"/>
      <c r="AM4" s="144"/>
      <c r="AN4" s="134" t="s">
        <v>174</v>
      </c>
      <c r="AO4" s="134"/>
      <c r="AP4" s="134"/>
      <c r="AQ4" s="134" t="s">
        <v>175</v>
      </c>
      <c r="AR4" s="134"/>
      <c r="AS4" s="134"/>
      <c r="AT4" s="134" t="s">
        <v>176</v>
      </c>
      <c r="AU4" s="147"/>
      <c r="AV4" s="148"/>
    </row>
    <row r="5" spans="1:48" ht="49.5">
      <c r="A5" s="136"/>
      <c r="B5" s="145"/>
      <c r="C5" s="146"/>
      <c r="D5" s="38" t="s">
        <v>177</v>
      </c>
      <c r="E5" s="88" t="s">
        <v>178</v>
      </c>
      <c r="F5" s="88" t="s">
        <v>179</v>
      </c>
      <c r="G5" s="38" t="s">
        <v>177</v>
      </c>
      <c r="H5" s="88" t="s">
        <v>178</v>
      </c>
      <c r="I5" s="88" t="s">
        <v>179</v>
      </c>
      <c r="J5" s="38" t="s">
        <v>177</v>
      </c>
      <c r="K5" s="88" t="s">
        <v>178</v>
      </c>
      <c r="L5" s="89" t="s">
        <v>179</v>
      </c>
      <c r="M5" s="136"/>
      <c r="N5" s="145"/>
      <c r="O5" s="146"/>
      <c r="P5" s="38" t="s">
        <v>180</v>
      </c>
      <c r="Q5" s="38" t="s">
        <v>181</v>
      </c>
      <c r="R5" s="88" t="s">
        <v>179</v>
      </c>
      <c r="S5" s="38" t="s">
        <v>180</v>
      </c>
      <c r="T5" s="38" t="s">
        <v>181</v>
      </c>
      <c r="U5" s="88" t="s">
        <v>179</v>
      </c>
      <c r="V5" s="38" t="s">
        <v>180</v>
      </c>
      <c r="W5" s="38" t="s">
        <v>181</v>
      </c>
      <c r="X5" s="89" t="s">
        <v>179</v>
      </c>
      <c r="Y5" s="136"/>
      <c r="Z5" s="145"/>
      <c r="AA5" s="146"/>
      <c r="AB5" s="38" t="s">
        <v>177</v>
      </c>
      <c r="AC5" s="88" t="s">
        <v>178</v>
      </c>
      <c r="AD5" s="88" t="s">
        <v>179</v>
      </c>
      <c r="AE5" s="38" t="s">
        <v>177</v>
      </c>
      <c r="AF5" s="88" t="s">
        <v>178</v>
      </c>
      <c r="AG5" s="88" t="s">
        <v>179</v>
      </c>
      <c r="AH5" s="38" t="s">
        <v>177</v>
      </c>
      <c r="AI5" s="88" t="s">
        <v>178</v>
      </c>
      <c r="AJ5" s="89" t="s">
        <v>179</v>
      </c>
      <c r="AK5" s="136"/>
      <c r="AL5" s="145"/>
      <c r="AM5" s="146"/>
      <c r="AN5" s="38" t="s">
        <v>177</v>
      </c>
      <c r="AO5" s="88" t="s">
        <v>178</v>
      </c>
      <c r="AP5" s="88" t="s">
        <v>179</v>
      </c>
      <c r="AQ5" s="38" t="s">
        <v>177</v>
      </c>
      <c r="AR5" s="88" t="s">
        <v>178</v>
      </c>
      <c r="AS5" s="88" t="s">
        <v>179</v>
      </c>
      <c r="AT5" s="38" t="s">
        <v>177</v>
      </c>
      <c r="AU5" s="88" t="s">
        <v>178</v>
      </c>
      <c r="AV5" s="89" t="s">
        <v>179</v>
      </c>
    </row>
    <row r="6" spans="1:48" ht="24" customHeight="1">
      <c r="A6" s="149" t="s">
        <v>182</v>
      </c>
      <c r="B6" s="153" t="s">
        <v>183</v>
      </c>
      <c r="C6" s="41" t="s">
        <v>76</v>
      </c>
      <c r="D6" s="42">
        <f t="shared" ref="D6:D38" si="0">F6/E6</f>
        <v>1403672.6348699061</v>
      </c>
      <c r="E6" s="42">
        <f>SUM(E7:E28)</f>
        <v>84170</v>
      </c>
      <c r="F6" s="42">
        <f>SUM(F7:F28)</f>
        <v>118147125677</v>
      </c>
      <c r="G6" s="42">
        <f>I6/H6</f>
        <v>1416996.5765186222</v>
      </c>
      <c r="H6" s="42">
        <f t="shared" ref="H6:L6" si="1">SUM(H7:H28)</f>
        <v>42127</v>
      </c>
      <c r="I6" s="42">
        <f t="shared" si="1"/>
        <v>59693814779</v>
      </c>
      <c r="J6" s="42">
        <f t="shared" ref="J6:J38" si="2">L6/K6</f>
        <v>1390322.072592346</v>
      </c>
      <c r="K6" s="42">
        <f t="shared" ref="K6" si="3">SUM(K7:K28)</f>
        <v>42043</v>
      </c>
      <c r="L6" s="43">
        <f t="shared" si="1"/>
        <v>58453310898</v>
      </c>
      <c r="M6" s="149" t="s">
        <v>184</v>
      </c>
      <c r="N6" s="153" t="s">
        <v>183</v>
      </c>
      <c r="O6" s="41" t="s">
        <v>76</v>
      </c>
      <c r="P6" s="42">
        <f>R6/Q6/12</f>
        <v>17578.758562813648</v>
      </c>
      <c r="Q6" s="42">
        <v>1339466.75</v>
      </c>
      <c r="R6" s="42">
        <f>U6+X6</f>
        <v>282553951214</v>
      </c>
      <c r="S6" s="42">
        <f>U6/T6/12</f>
        <v>18772.653832481508</v>
      </c>
      <c r="T6" s="42">
        <v>614791.92000000004</v>
      </c>
      <c r="U6" s="42">
        <f>SUM(U7:U28)+(35248)</f>
        <v>138495310718</v>
      </c>
      <c r="V6" s="79">
        <f>X6/W6/12</f>
        <v>16565.894399837238</v>
      </c>
      <c r="W6" s="42">
        <v>724674.83</v>
      </c>
      <c r="X6" s="43">
        <f>SUM(X7:X28)+(0)</f>
        <v>144058640496</v>
      </c>
      <c r="Y6" s="149" t="s">
        <v>185</v>
      </c>
      <c r="Z6" s="153" t="s">
        <v>183</v>
      </c>
      <c r="AA6" s="41" t="s">
        <v>76</v>
      </c>
      <c r="AB6" s="42">
        <f>AD6/AC6</f>
        <v>94743.914772390053</v>
      </c>
      <c r="AC6" s="42">
        <f>AF6+AI6</f>
        <v>16849</v>
      </c>
      <c r="AD6" s="42">
        <f>AG6+AJ6</f>
        <v>1596340220</v>
      </c>
      <c r="AE6" s="42">
        <f>AG6/AF6</f>
        <v>107419.90724341507</v>
      </c>
      <c r="AF6" s="42">
        <f>SUM(AF7:AF28)+(0)</f>
        <v>8808</v>
      </c>
      <c r="AG6" s="42">
        <f>SUM(AG7:AG28)+(0)</f>
        <v>946154543</v>
      </c>
      <c r="AH6" s="42">
        <f>AJ6/AI6</f>
        <v>80858.80823280687</v>
      </c>
      <c r="AI6" s="42">
        <f>SUM(AI7:AI28)+(0)</f>
        <v>8041</v>
      </c>
      <c r="AJ6" s="43">
        <f>SUM(AJ7:AJ28)+(0)</f>
        <v>650185677</v>
      </c>
      <c r="AK6" s="149" t="s">
        <v>186</v>
      </c>
      <c r="AL6" s="153" t="s">
        <v>183</v>
      </c>
      <c r="AM6" s="41" t="s">
        <v>76</v>
      </c>
      <c r="AN6" s="42">
        <f>AP6/AO6</f>
        <v>740795.13616670109</v>
      </c>
      <c r="AO6" s="42">
        <f>SUM(AO7:AO28)</f>
        <v>4847</v>
      </c>
      <c r="AP6" s="42">
        <f>SUM(AP7:AP28)</f>
        <v>3590634025</v>
      </c>
      <c r="AQ6" s="42">
        <f>AS6/AR6</f>
        <v>770833.59371867694</v>
      </c>
      <c r="AR6" s="42">
        <f t="shared" ref="AR6:AS6" si="4">SUM(AR7:AR28)</f>
        <v>2993</v>
      </c>
      <c r="AS6" s="42">
        <f t="shared" si="4"/>
        <v>2307104946</v>
      </c>
      <c r="AT6" s="42">
        <f>AV6/AU6</f>
        <v>692302.63160733553</v>
      </c>
      <c r="AU6" s="42">
        <f t="shared" ref="AU6:AV6" si="5">SUM(AU7:AU28)</f>
        <v>1854</v>
      </c>
      <c r="AV6" s="43">
        <f t="shared" si="5"/>
        <v>1283529079</v>
      </c>
    </row>
    <row r="7" spans="1:48" ht="24" customHeight="1">
      <c r="A7" s="150"/>
      <c r="B7" s="154"/>
      <c r="C7" s="41" t="s">
        <v>187</v>
      </c>
      <c r="D7" s="42">
        <f t="shared" si="0"/>
        <v>1454211.1751148659</v>
      </c>
      <c r="E7" s="42">
        <f>H7+K7</f>
        <v>13494</v>
      </c>
      <c r="F7" s="42">
        <f>I7+L7</f>
        <v>19623125597</v>
      </c>
      <c r="G7" s="42">
        <f t="shared" ref="G7:G38" si="6">I7/H7</f>
        <v>1464555.936182756</v>
      </c>
      <c r="H7" s="42">
        <v>6785</v>
      </c>
      <c r="I7" s="42">
        <v>9937012027</v>
      </c>
      <c r="J7" s="42">
        <f t="shared" si="2"/>
        <v>1443749.2279028171</v>
      </c>
      <c r="K7" s="42">
        <v>6709</v>
      </c>
      <c r="L7" s="43">
        <v>9686113570</v>
      </c>
      <c r="M7" s="150"/>
      <c r="N7" s="154"/>
      <c r="O7" s="41" t="s">
        <v>187</v>
      </c>
      <c r="P7" s="42">
        <f t="shared" ref="P7:P28" si="7">R7/Q7/12</f>
        <v>17620.456288359041</v>
      </c>
      <c r="Q7" s="42">
        <v>198101.92</v>
      </c>
      <c r="R7" s="42">
        <f t="shared" ref="R7:R28" si="8">U7+X7</f>
        <v>41887754664</v>
      </c>
      <c r="S7" s="42">
        <f t="shared" ref="S7:S28" si="9">U7/T7/12</f>
        <v>18524.99396977534</v>
      </c>
      <c r="T7" s="42">
        <v>90930.83</v>
      </c>
      <c r="U7" s="42">
        <v>20213916929</v>
      </c>
      <c r="V7" s="79">
        <f t="shared" ref="V7:V28" si="10">X7/W7/12</f>
        <v>16852.990047159488</v>
      </c>
      <c r="W7" s="42">
        <v>107171.08</v>
      </c>
      <c r="X7" s="43">
        <v>21673837735</v>
      </c>
      <c r="Y7" s="150"/>
      <c r="Z7" s="154"/>
      <c r="AA7" s="41" t="s">
        <v>187</v>
      </c>
      <c r="AB7" s="42">
        <f t="shared" ref="AB7:AB38" si="11">AD7/AC7</f>
        <v>102405.21496130696</v>
      </c>
      <c r="AC7" s="42">
        <f>AF7+AI7</f>
        <v>2326</v>
      </c>
      <c r="AD7" s="42">
        <f>AG7+AJ7</f>
        <v>238194530</v>
      </c>
      <c r="AE7" s="42">
        <f t="shared" ref="AE7:AE38" si="12">AG7/AF7</f>
        <v>117519.7972536349</v>
      </c>
      <c r="AF7" s="42">
        <v>1238</v>
      </c>
      <c r="AG7" s="42">
        <v>145489509</v>
      </c>
      <c r="AH7" s="42">
        <f t="shared" ref="AH7:AH38" si="13">AJ7/AI7</f>
        <v>85206.820772058825</v>
      </c>
      <c r="AI7" s="42">
        <v>1088</v>
      </c>
      <c r="AJ7" s="43">
        <v>92705021</v>
      </c>
      <c r="AK7" s="150"/>
      <c r="AL7" s="154"/>
      <c r="AM7" s="41" t="s">
        <v>187</v>
      </c>
      <c r="AN7" s="42">
        <f t="shared" ref="AN7:AN38" si="14">AP7/AO7</f>
        <v>727910.84304207121</v>
      </c>
      <c r="AO7" s="42">
        <f>AR7+AU7</f>
        <v>618</v>
      </c>
      <c r="AP7" s="42">
        <f>AS7+AV7</f>
        <v>449848901</v>
      </c>
      <c r="AQ7" s="42">
        <f t="shared" ref="AQ7:AQ38" si="15">AS7/AR7</f>
        <v>735134.12827225134</v>
      </c>
      <c r="AR7" s="42">
        <v>382</v>
      </c>
      <c r="AS7" s="42">
        <v>280821237</v>
      </c>
      <c r="AT7" s="42">
        <f t="shared" ref="AT7:AT38" si="16">AV7/AU7</f>
        <v>716218.91525423725</v>
      </c>
      <c r="AU7" s="42">
        <v>236</v>
      </c>
      <c r="AV7" s="43">
        <v>169027664</v>
      </c>
    </row>
    <row r="8" spans="1:48" ht="24" customHeight="1">
      <c r="A8" s="150"/>
      <c r="B8" s="154"/>
      <c r="C8" s="41" t="s">
        <v>188</v>
      </c>
      <c r="D8" s="42">
        <f t="shared" si="0"/>
        <v>1439540.1478124016</v>
      </c>
      <c r="E8" s="42">
        <f t="shared" ref="E8:F28" si="17">H8+K8</f>
        <v>15885</v>
      </c>
      <c r="F8" s="42">
        <f t="shared" si="17"/>
        <v>22867095248</v>
      </c>
      <c r="G8" s="42">
        <f t="shared" si="6"/>
        <v>1446501.7204767063</v>
      </c>
      <c r="H8" s="42">
        <v>7384</v>
      </c>
      <c r="I8" s="42">
        <v>10680968704</v>
      </c>
      <c r="J8" s="42">
        <f t="shared" si="2"/>
        <v>1433493.3000823432</v>
      </c>
      <c r="K8" s="42">
        <v>8501</v>
      </c>
      <c r="L8" s="43">
        <v>12186126544</v>
      </c>
      <c r="M8" s="150"/>
      <c r="N8" s="154"/>
      <c r="O8" s="41" t="s">
        <v>188</v>
      </c>
      <c r="P8" s="42">
        <f t="shared" si="7"/>
        <v>18006.071181244832</v>
      </c>
      <c r="Q8" s="42">
        <v>272653.75</v>
      </c>
      <c r="R8" s="42">
        <f t="shared" si="8"/>
        <v>58913073964</v>
      </c>
      <c r="S8" s="42">
        <f t="shared" si="9"/>
        <v>19016.24192210253</v>
      </c>
      <c r="T8" s="42">
        <v>127364</v>
      </c>
      <c r="U8" s="42">
        <v>29063815634</v>
      </c>
      <c r="V8" s="79">
        <f t="shared" si="10"/>
        <v>17120.534615598601</v>
      </c>
      <c r="W8" s="42">
        <v>145289.75</v>
      </c>
      <c r="X8" s="80">
        <v>29849258330</v>
      </c>
      <c r="Y8" s="150"/>
      <c r="Z8" s="154"/>
      <c r="AA8" s="41" t="s">
        <v>188</v>
      </c>
      <c r="AB8" s="42">
        <f t="shared" si="11"/>
        <v>94529.966929133865</v>
      </c>
      <c r="AC8" s="42">
        <f t="shared" ref="AC8:AD28" si="18">AF8+AI8</f>
        <v>5080</v>
      </c>
      <c r="AD8" s="42">
        <f t="shared" si="18"/>
        <v>480212232</v>
      </c>
      <c r="AE8" s="42">
        <f t="shared" si="12"/>
        <v>99853.727540500739</v>
      </c>
      <c r="AF8" s="42">
        <v>2716</v>
      </c>
      <c r="AG8" s="42">
        <v>271202724</v>
      </c>
      <c r="AH8" s="42">
        <f t="shared" si="13"/>
        <v>88413.497461928928</v>
      </c>
      <c r="AI8" s="42">
        <v>2364</v>
      </c>
      <c r="AJ8" s="43">
        <v>209009508</v>
      </c>
      <c r="AK8" s="150"/>
      <c r="AL8" s="154"/>
      <c r="AM8" s="41" t="s">
        <v>188</v>
      </c>
      <c r="AN8" s="42">
        <f t="shared" si="14"/>
        <v>771926.61097256863</v>
      </c>
      <c r="AO8" s="42">
        <f t="shared" ref="AO8:AP28" si="19">AR8+AU8</f>
        <v>802</v>
      </c>
      <c r="AP8" s="42">
        <f t="shared" si="19"/>
        <v>619085142</v>
      </c>
      <c r="AQ8" s="42">
        <f t="shared" si="15"/>
        <v>819511.92231075699</v>
      </c>
      <c r="AR8" s="42">
        <v>502</v>
      </c>
      <c r="AS8" s="42">
        <v>411394985</v>
      </c>
      <c r="AT8" s="42">
        <f t="shared" si="16"/>
        <v>692300.52333333332</v>
      </c>
      <c r="AU8" s="42">
        <v>300</v>
      </c>
      <c r="AV8" s="43">
        <v>207690157</v>
      </c>
    </row>
    <row r="9" spans="1:48" ht="24" customHeight="1">
      <c r="A9" s="150"/>
      <c r="B9" s="154"/>
      <c r="C9" s="41" t="s">
        <v>189</v>
      </c>
      <c r="D9" s="42">
        <f t="shared" si="0"/>
        <v>1433279.1529204976</v>
      </c>
      <c r="E9" s="42">
        <f t="shared" si="17"/>
        <v>7396</v>
      </c>
      <c r="F9" s="42">
        <f t="shared" si="17"/>
        <v>10600532615</v>
      </c>
      <c r="G9" s="42">
        <f t="shared" si="6"/>
        <v>1470957.7462996624</v>
      </c>
      <c r="H9" s="42">
        <v>3851</v>
      </c>
      <c r="I9" s="42">
        <v>5664658281</v>
      </c>
      <c r="J9" s="42">
        <f t="shared" si="2"/>
        <v>1392348.1901269394</v>
      </c>
      <c r="K9" s="42">
        <v>3545</v>
      </c>
      <c r="L9" s="43">
        <v>4935874334</v>
      </c>
      <c r="M9" s="150"/>
      <c r="N9" s="154"/>
      <c r="O9" s="41" t="s">
        <v>189</v>
      </c>
      <c r="P9" s="42">
        <f t="shared" si="7"/>
        <v>18270.713657746233</v>
      </c>
      <c r="Q9" s="42">
        <v>94867.58</v>
      </c>
      <c r="R9" s="42">
        <f t="shared" si="8"/>
        <v>20799580675</v>
      </c>
      <c r="S9" s="42">
        <f t="shared" si="9"/>
        <v>19753.956441718805</v>
      </c>
      <c r="T9" s="42">
        <v>48373.58</v>
      </c>
      <c r="U9" s="42">
        <v>11466835107</v>
      </c>
      <c r="V9" s="79">
        <f t="shared" si="10"/>
        <v>16727.508868527839</v>
      </c>
      <c r="W9" s="42">
        <v>46494</v>
      </c>
      <c r="X9" s="43">
        <v>9332745568</v>
      </c>
      <c r="Y9" s="150"/>
      <c r="Z9" s="154"/>
      <c r="AA9" s="41" t="s">
        <v>189</v>
      </c>
      <c r="AB9" s="42">
        <f t="shared" si="11"/>
        <v>105837.76558384548</v>
      </c>
      <c r="AC9" s="42">
        <f t="shared" si="18"/>
        <v>1139</v>
      </c>
      <c r="AD9" s="42">
        <f t="shared" si="18"/>
        <v>120549215</v>
      </c>
      <c r="AE9" s="42">
        <f t="shared" si="12"/>
        <v>125784.36868686869</v>
      </c>
      <c r="AF9" s="42">
        <v>594</v>
      </c>
      <c r="AG9" s="42">
        <v>74715915</v>
      </c>
      <c r="AH9" s="42">
        <f t="shared" si="13"/>
        <v>84097.798165137618</v>
      </c>
      <c r="AI9" s="42">
        <v>545</v>
      </c>
      <c r="AJ9" s="43">
        <v>45833300</v>
      </c>
      <c r="AK9" s="150"/>
      <c r="AL9" s="154"/>
      <c r="AM9" s="41" t="s">
        <v>189</v>
      </c>
      <c r="AN9" s="42">
        <f t="shared" si="14"/>
        <v>756359.87581699342</v>
      </c>
      <c r="AO9" s="42">
        <f t="shared" si="19"/>
        <v>306</v>
      </c>
      <c r="AP9" s="42">
        <f t="shared" si="19"/>
        <v>231446122</v>
      </c>
      <c r="AQ9" s="42">
        <f t="shared" si="15"/>
        <v>805991.59585492231</v>
      </c>
      <c r="AR9" s="42">
        <v>193</v>
      </c>
      <c r="AS9" s="42">
        <v>155556378</v>
      </c>
      <c r="AT9" s="42">
        <f t="shared" si="16"/>
        <v>671590.65486725664</v>
      </c>
      <c r="AU9" s="42">
        <v>113</v>
      </c>
      <c r="AV9" s="43">
        <v>75889744</v>
      </c>
    </row>
    <row r="10" spans="1:48" ht="24" customHeight="1">
      <c r="A10" s="150"/>
      <c r="B10" s="154"/>
      <c r="C10" s="41" t="s">
        <v>190</v>
      </c>
      <c r="D10" s="42">
        <f t="shared" si="0"/>
        <v>1332628.9872340425</v>
      </c>
      <c r="E10" s="42">
        <f t="shared" si="17"/>
        <v>8930</v>
      </c>
      <c r="F10" s="42">
        <f t="shared" si="17"/>
        <v>11900376856</v>
      </c>
      <c r="G10" s="42">
        <f t="shared" si="6"/>
        <v>1371840.878494387</v>
      </c>
      <c r="H10" s="42">
        <v>4543</v>
      </c>
      <c r="I10" s="42">
        <v>6232273111</v>
      </c>
      <c r="J10" s="42">
        <f t="shared" si="2"/>
        <v>1292022.7364941873</v>
      </c>
      <c r="K10" s="42">
        <v>4387</v>
      </c>
      <c r="L10" s="43">
        <v>5668103745</v>
      </c>
      <c r="M10" s="150"/>
      <c r="N10" s="154"/>
      <c r="O10" s="41" t="s">
        <v>190</v>
      </c>
      <c r="P10" s="42">
        <f t="shared" si="7"/>
        <v>16709.116853062336</v>
      </c>
      <c r="Q10" s="42">
        <v>130033.42</v>
      </c>
      <c r="R10" s="42">
        <f t="shared" si="8"/>
        <v>26072923315</v>
      </c>
      <c r="S10" s="42">
        <f t="shared" si="9"/>
        <v>17833.97134137731</v>
      </c>
      <c r="T10" s="42">
        <v>63733</v>
      </c>
      <c r="U10" s="42">
        <v>13639349946</v>
      </c>
      <c r="V10" s="79">
        <f t="shared" si="10"/>
        <v>15627.821272977357</v>
      </c>
      <c r="W10" s="42">
        <v>66300.42</v>
      </c>
      <c r="X10" s="50">
        <v>12433573369</v>
      </c>
      <c r="Y10" s="150"/>
      <c r="Z10" s="154"/>
      <c r="AA10" s="41" t="s">
        <v>190</v>
      </c>
      <c r="AB10" s="42">
        <f t="shared" si="11"/>
        <v>90747.303723642894</v>
      </c>
      <c r="AC10" s="42">
        <f t="shared" si="18"/>
        <v>2229</v>
      </c>
      <c r="AD10" s="42">
        <f t="shared" si="18"/>
        <v>202275740</v>
      </c>
      <c r="AE10" s="42">
        <f t="shared" si="12"/>
        <v>103477.80590339893</v>
      </c>
      <c r="AF10" s="42">
        <v>1118</v>
      </c>
      <c r="AG10" s="42">
        <v>115688187</v>
      </c>
      <c r="AH10" s="42">
        <f t="shared" si="13"/>
        <v>77936.591359135913</v>
      </c>
      <c r="AI10" s="42">
        <v>1111</v>
      </c>
      <c r="AJ10" s="43">
        <v>86587553</v>
      </c>
      <c r="AK10" s="150"/>
      <c r="AL10" s="154"/>
      <c r="AM10" s="41" t="s">
        <v>190</v>
      </c>
      <c r="AN10" s="42">
        <f t="shared" si="14"/>
        <v>736275.82213438733</v>
      </c>
      <c r="AO10" s="42">
        <f t="shared" si="19"/>
        <v>506</v>
      </c>
      <c r="AP10" s="42">
        <f t="shared" si="19"/>
        <v>372555566</v>
      </c>
      <c r="AQ10" s="42">
        <f t="shared" si="15"/>
        <v>788626.27950310556</v>
      </c>
      <c r="AR10" s="42">
        <v>322</v>
      </c>
      <c r="AS10" s="42">
        <v>253937662</v>
      </c>
      <c r="AT10" s="42">
        <f t="shared" si="16"/>
        <v>644662.52173913049</v>
      </c>
      <c r="AU10" s="42">
        <v>184</v>
      </c>
      <c r="AV10" s="43">
        <v>118617904</v>
      </c>
    </row>
    <row r="11" spans="1:48" ht="24" customHeight="1">
      <c r="A11" s="150"/>
      <c r="B11" s="154"/>
      <c r="C11" s="41" t="s">
        <v>191</v>
      </c>
      <c r="D11" s="42">
        <f t="shared" si="0"/>
        <v>1307941.5868752126</v>
      </c>
      <c r="E11" s="42">
        <f t="shared" si="17"/>
        <v>5882</v>
      </c>
      <c r="F11" s="42">
        <f t="shared" si="17"/>
        <v>7693312414</v>
      </c>
      <c r="G11" s="42">
        <f t="shared" si="6"/>
        <v>1338743.1393470212</v>
      </c>
      <c r="H11" s="42">
        <v>2971</v>
      </c>
      <c r="I11" s="42">
        <v>3977405867</v>
      </c>
      <c r="J11" s="42">
        <f t="shared" si="2"/>
        <v>1276505.1690140846</v>
      </c>
      <c r="K11" s="42">
        <v>2911</v>
      </c>
      <c r="L11" s="43">
        <v>3715906547</v>
      </c>
      <c r="M11" s="150"/>
      <c r="N11" s="154"/>
      <c r="O11" s="41" t="s">
        <v>191</v>
      </c>
      <c r="P11" s="42">
        <f t="shared" si="7"/>
        <v>15996.7657354943</v>
      </c>
      <c r="Q11" s="42">
        <v>99847.25</v>
      </c>
      <c r="R11" s="42">
        <f t="shared" si="8"/>
        <v>19166796811</v>
      </c>
      <c r="S11" s="42">
        <f t="shared" si="9"/>
        <v>17364.673270874424</v>
      </c>
      <c r="T11" s="42">
        <v>46448.67</v>
      </c>
      <c r="U11" s="42">
        <v>9678791741</v>
      </c>
      <c r="V11" s="79">
        <f t="shared" si="10"/>
        <v>14806.893538492346</v>
      </c>
      <c r="W11" s="42">
        <v>53398.58</v>
      </c>
      <c r="X11" s="43">
        <v>9488005070</v>
      </c>
      <c r="Y11" s="150"/>
      <c r="Z11" s="154"/>
      <c r="AA11" s="41" t="s">
        <v>191</v>
      </c>
      <c r="AB11" s="42">
        <f t="shared" si="11"/>
        <v>88521.981922760882</v>
      </c>
      <c r="AC11" s="42">
        <f t="shared" si="18"/>
        <v>1217</v>
      </c>
      <c r="AD11" s="42">
        <f t="shared" si="18"/>
        <v>107731252</v>
      </c>
      <c r="AE11" s="42">
        <f t="shared" si="12"/>
        <v>106419.80312500001</v>
      </c>
      <c r="AF11" s="42">
        <v>640</v>
      </c>
      <c r="AG11" s="42">
        <v>68108674</v>
      </c>
      <c r="AH11" s="42">
        <f t="shared" si="13"/>
        <v>68669.979202772956</v>
      </c>
      <c r="AI11" s="42">
        <v>577</v>
      </c>
      <c r="AJ11" s="43">
        <v>39622578</v>
      </c>
      <c r="AK11" s="150"/>
      <c r="AL11" s="154"/>
      <c r="AM11" s="41" t="s">
        <v>191</v>
      </c>
      <c r="AN11" s="42">
        <f t="shared" si="14"/>
        <v>683307.35891089111</v>
      </c>
      <c r="AO11" s="42">
        <f t="shared" si="19"/>
        <v>404</v>
      </c>
      <c r="AP11" s="42">
        <f t="shared" si="19"/>
        <v>276056173</v>
      </c>
      <c r="AQ11" s="42">
        <f t="shared" si="15"/>
        <v>716923.59003831423</v>
      </c>
      <c r="AR11" s="42">
        <v>261</v>
      </c>
      <c r="AS11" s="42">
        <v>187117057</v>
      </c>
      <c r="AT11" s="42">
        <f t="shared" si="16"/>
        <v>621951.86013986019</v>
      </c>
      <c r="AU11" s="42">
        <v>143</v>
      </c>
      <c r="AV11" s="43">
        <v>88939116</v>
      </c>
    </row>
    <row r="12" spans="1:48" ht="24" customHeight="1">
      <c r="A12" s="150"/>
      <c r="B12" s="154"/>
      <c r="C12" s="41" t="s">
        <v>192</v>
      </c>
      <c r="D12" s="42">
        <f t="shared" si="0"/>
        <v>1338570.8955686707</v>
      </c>
      <c r="E12" s="42">
        <f t="shared" si="17"/>
        <v>9997</v>
      </c>
      <c r="F12" s="42">
        <f t="shared" si="17"/>
        <v>13381693243</v>
      </c>
      <c r="G12" s="42">
        <f t="shared" si="6"/>
        <v>1340972.7802089492</v>
      </c>
      <c r="H12" s="42">
        <v>5073</v>
      </c>
      <c r="I12" s="42">
        <v>6802754914</v>
      </c>
      <c r="J12" s="42">
        <f t="shared" si="2"/>
        <v>1336096.330016247</v>
      </c>
      <c r="K12" s="42">
        <v>4924</v>
      </c>
      <c r="L12" s="43">
        <v>6578938329</v>
      </c>
      <c r="M12" s="150"/>
      <c r="N12" s="154"/>
      <c r="O12" s="41" t="s">
        <v>192</v>
      </c>
      <c r="P12" s="42">
        <f t="shared" si="7"/>
        <v>17942.597016831369</v>
      </c>
      <c r="Q12" s="42">
        <v>174886.75</v>
      </c>
      <c r="R12" s="42">
        <f t="shared" si="8"/>
        <v>37655069746</v>
      </c>
      <c r="S12" s="42">
        <f t="shared" si="9"/>
        <v>19942.317093636459</v>
      </c>
      <c r="T12" s="42">
        <v>79152.75</v>
      </c>
      <c r="U12" s="42">
        <v>18941870872</v>
      </c>
      <c r="V12" s="79">
        <f t="shared" si="10"/>
        <v>16289.230988990326</v>
      </c>
      <c r="W12" s="42">
        <v>95734</v>
      </c>
      <c r="X12" s="43">
        <v>18713198874</v>
      </c>
      <c r="Y12" s="150"/>
      <c r="Z12" s="154"/>
      <c r="AA12" s="41" t="s">
        <v>192</v>
      </c>
      <c r="AB12" s="42">
        <f t="shared" si="11"/>
        <v>84152.92081218274</v>
      </c>
      <c r="AC12" s="42">
        <f t="shared" si="18"/>
        <v>1970</v>
      </c>
      <c r="AD12" s="42">
        <f t="shared" si="18"/>
        <v>165781254</v>
      </c>
      <c r="AE12" s="42">
        <f t="shared" si="12"/>
        <v>102018.20967741935</v>
      </c>
      <c r="AF12" s="42">
        <v>992</v>
      </c>
      <c r="AG12" s="42">
        <v>101202064</v>
      </c>
      <c r="AH12" s="42">
        <f t="shared" si="13"/>
        <v>66031.891615541928</v>
      </c>
      <c r="AI12" s="42">
        <v>978</v>
      </c>
      <c r="AJ12" s="43">
        <v>64579190</v>
      </c>
      <c r="AK12" s="150"/>
      <c r="AL12" s="154"/>
      <c r="AM12" s="41" t="s">
        <v>192</v>
      </c>
      <c r="AN12" s="42">
        <f t="shared" si="14"/>
        <v>756813.61285909708</v>
      </c>
      <c r="AO12" s="42">
        <f t="shared" si="19"/>
        <v>731</v>
      </c>
      <c r="AP12" s="42">
        <f t="shared" si="19"/>
        <v>553230751</v>
      </c>
      <c r="AQ12" s="42">
        <f t="shared" si="15"/>
        <v>797041.52584269666</v>
      </c>
      <c r="AR12" s="42">
        <v>445</v>
      </c>
      <c r="AS12" s="42">
        <v>354683479</v>
      </c>
      <c r="AT12" s="42">
        <f t="shared" si="16"/>
        <v>694221.23076923075</v>
      </c>
      <c r="AU12" s="42">
        <v>286</v>
      </c>
      <c r="AV12" s="43">
        <v>198547272</v>
      </c>
    </row>
    <row r="13" spans="1:48" ht="24" customHeight="1">
      <c r="A13" s="151"/>
      <c r="B13" s="155"/>
      <c r="C13" s="44" t="s">
        <v>77</v>
      </c>
      <c r="D13" s="45">
        <f t="shared" si="0"/>
        <v>1591482.6865139948</v>
      </c>
      <c r="E13" s="45">
        <f t="shared" si="17"/>
        <v>1965</v>
      </c>
      <c r="F13" s="45">
        <f t="shared" si="17"/>
        <v>3127263479</v>
      </c>
      <c r="G13" s="45">
        <f t="shared" si="6"/>
        <v>1561415.985247629</v>
      </c>
      <c r="H13" s="45">
        <v>949</v>
      </c>
      <c r="I13" s="45">
        <v>1481783770</v>
      </c>
      <c r="J13" s="45">
        <f t="shared" si="2"/>
        <v>1619566.6427165354</v>
      </c>
      <c r="K13" s="45">
        <v>1016</v>
      </c>
      <c r="L13" s="46">
        <v>1645479709</v>
      </c>
      <c r="M13" s="151"/>
      <c r="N13" s="155"/>
      <c r="O13" s="44" t="s">
        <v>77</v>
      </c>
      <c r="P13" s="45">
        <f t="shared" si="7"/>
        <v>19213.492686867401</v>
      </c>
      <c r="Q13" s="45">
        <v>30778.42</v>
      </c>
      <c r="R13" s="45">
        <f t="shared" si="8"/>
        <v>7096331371</v>
      </c>
      <c r="S13" s="45">
        <f t="shared" si="9"/>
        <v>19802.116867287688</v>
      </c>
      <c r="T13" s="45">
        <v>11726.92</v>
      </c>
      <c r="U13" s="45">
        <v>2786614084</v>
      </c>
      <c r="V13" s="81">
        <f t="shared" si="10"/>
        <v>18851.172204288374</v>
      </c>
      <c r="W13" s="45">
        <v>19051.5</v>
      </c>
      <c r="X13" s="46">
        <v>4309717287</v>
      </c>
      <c r="Y13" s="151"/>
      <c r="Z13" s="155"/>
      <c r="AA13" s="44" t="s">
        <v>77</v>
      </c>
      <c r="AB13" s="45">
        <f t="shared" si="11"/>
        <v>99905.076923076922</v>
      </c>
      <c r="AC13" s="45">
        <f t="shared" si="18"/>
        <v>78</v>
      </c>
      <c r="AD13" s="45">
        <f t="shared" si="18"/>
        <v>7792596</v>
      </c>
      <c r="AE13" s="45">
        <f t="shared" si="12"/>
        <v>85901.268292682929</v>
      </c>
      <c r="AF13" s="45">
        <v>41</v>
      </c>
      <c r="AG13" s="45">
        <v>3521952</v>
      </c>
      <c r="AH13" s="45">
        <f t="shared" si="13"/>
        <v>115422.81081081081</v>
      </c>
      <c r="AI13" s="45">
        <v>37</v>
      </c>
      <c r="AJ13" s="46">
        <v>4270644</v>
      </c>
      <c r="AK13" s="151"/>
      <c r="AL13" s="155"/>
      <c r="AM13" s="44" t="s">
        <v>77</v>
      </c>
      <c r="AN13" s="45">
        <f t="shared" si="14"/>
        <v>670461.72</v>
      </c>
      <c r="AO13" s="45">
        <f t="shared" si="19"/>
        <v>100</v>
      </c>
      <c r="AP13" s="45">
        <f t="shared" si="19"/>
        <v>67046172</v>
      </c>
      <c r="AQ13" s="45">
        <f t="shared" si="15"/>
        <v>604127.5</v>
      </c>
      <c r="AR13" s="45">
        <v>52</v>
      </c>
      <c r="AS13" s="45">
        <v>31414630</v>
      </c>
      <c r="AT13" s="45">
        <f t="shared" si="16"/>
        <v>742323.79166666663</v>
      </c>
      <c r="AU13" s="45">
        <v>48</v>
      </c>
      <c r="AV13" s="46">
        <v>35631542</v>
      </c>
    </row>
    <row r="14" spans="1:48" ht="24" customHeight="1">
      <c r="A14" s="151"/>
      <c r="B14" s="155"/>
      <c r="C14" s="44" t="s">
        <v>79</v>
      </c>
      <c r="D14" s="45">
        <f t="shared" si="0"/>
        <v>1458338.5050055617</v>
      </c>
      <c r="E14" s="45">
        <f t="shared" si="17"/>
        <v>1798</v>
      </c>
      <c r="F14" s="45">
        <f t="shared" si="17"/>
        <v>2622092632</v>
      </c>
      <c r="G14" s="45">
        <f t="shared" si="6"/>
        <v>1484206.8975453575</v>
      </c>
      <c r="H14" s="45">
        <v>937</v>
      </c>
      <c r="I14" s="45">
        <v>1390701863</v>
      </c>
      <c r="J14" s="45">
        <f t="shared" si="2"/>
        <v>1430186.7235772358</v>
      </c>
      <c r="K14" s="45">
        <v>861</v>
      </c>
      <c r="L14" s="46">
        <v>1231390769</v>
      </c>
      <c r="M14" s="151"/>
      <c r="N14" s="155"/>
      <c r="O14" s="44" t="s">
        <v>79</v>
      </c>
      <c r="P14" s="45">
        <f t="shared" si="7"/>
        <v>18639.807447438921</v>
      </c>
      <c r="Q14" s="45">
        <v>20987.17</v>
      </c>
      <c r="R14" s="45">
        <f t="shared" si="8"/>
        <v>4694361692</v>
      </c>
      <c r="S14" s="45">
        <f t="shared" si="9"/>
        <v>19749.812697512727</v>
      </c>
      <c r="T14" s="45">
        <v>9806.33</v>
      </c>
      <c r="U14" s="45">
        <v>2324078169</v>
      </c>
      <c r="V14" s="81">
        <f t="shared" si="10"/>
        <v>17666.275841477483</v>
      </c>
      <c r="W14" s="45">
        <v>11180.83</v>
      </c>
      <c r="X14" s="46">
        <v>2370283523</v>
      </c>
      <c r="Y14" s="151"/>
      <c r="Z14" s="155"/>
      <c r="AA14" s="44" t="s">
        <v>79</v>
      </c>
      <c r="AB14" s="45">
        <f t="shared" si="11"/>
        <v>114586.22988505747</v>
      </c>
      <c r="AC14" s="45">
        <f t="shared" si="18"/>
        <v>174</v>
      </c>
      <c r="AD14" s="45">
        <f t="shared" si="18"/>
        <v>19938004</v>
      </c>
      <c r="AE14" s="45">
        <f t="shared" si="12"/>
        <v>136673.16666666666</v>
      </c>
      <c r="AF14" s="45">
        <v>96</v>
      </c>
      <c r="AG14" s="45">
        <v>13120624</v>
      </c>
      <c r="AH14" s="45">
        <f t="shared" si="13"/>
        <v>87402.307692307688</v>
      </c>
      <c r="AI14" s="45">
        <v>78</v>
      </c>
      <c r="AJ14" s="46">
        <v>6817380</v>
      </c>
      <c r="AK14" s="151"/>
      <c r="AL14" s="155"/>
      <c r="AM14" s="44" t="s">
        <v>79</v>
      </c>
      <c r="AN14" s="45">
        <f t="shared" si="14"/>
        <v>709741.9384615384</v>
      </c>
      <c r="AO14" s="45">
        <f t="shared" si="19"/>
        <v>65</v>
      </c>
      <c r="AP14" s="45">
        <f t="shared" si="19"/>
        <v>46133226</v>
      </c>
      <c r="AQ14" s="45">
        <f t="shared" si="15"/>
        <v>805304.94285714289</v>
      </c>
      <c r="AR14" s="45">
        <v>35</v>
      </c>
      <c r="AS14" s="45">
        <v>28185673</v>
      </c>
      <c r="AT14" s="45">
        <f t="shared" si="16"/>
        <v>598251.76666666672</v>
      </c>
      <c r="AU14" s="45">
        <v>30</v>
      </c>
      <c r="AV14" s="46">
        <v>17947553</v>
      </c>
    </row>
    <row r="15" spans="1:48" ht="24" customHeight="1">
      <c r="A15" s="151"/>
      <c r="B15" s="155"/>
      <c r="C15" s="44" t="s">
        <v>80</v>
      </c>
      <c r="D15" s="45">
        <f t="shared" si="0"/>
        <v>1457492.3025974026</v>
      </c>
      <c r="E15" s="45">
        <f t="shared" si="17"/>
        <v>1540</v>
      </c>
      <c r="F15" s="45">
        <f t="shared" si="17"/>
        <v>2244538146</v>
      </c>
      <c r="G15" s="45">
        <f t="shared" si="6"/>
        <v>1480675.8547979798</v>
      </c>
      <c r="H15" s="45">
        <v>792</v>
      </c>
      <c r="I15" s="45">
        <v>1172695277</v>
      </c>
      <c r="J15" s="45">
        <f t="shared" si="2"/>
        <v>1432945.0120320856</v>
      </c>
      <c r="K15" s="45">
        <v>748</v>
      </c>
      <c r="L15" s="46">
        <v>1071842869</v>
      </c>
      <c r="M15" s="151"/>
      <c r="N15" s="155"/>
      <c r="O15" s="44" t="s">
        <v>80</v>
      </c>
      <c r="P15" s="45">
        <f t="shared" si="7"/>
        <v>18030.827657548012</v>
      </c>
      <c r="Q15" s="45">
        <v>25849.58</v>
      </c>
      <c r="R15" s="45">
        <f t="shared" si="8"/>
        <v>5593071864</v>
      </c>
      <c r="S15" s="45">
        <f t="shared" si="9"/>
        <v>19400.226256317404</v>
      </c>
      <c r="T15" s="45">
        <v>11620.67</v>
      </c>
      <c r="U15" s="45">
        <v>2705323527</v>
      </c>
      <c r="V15" s="81">
        <f t="shared" si="10"/>
        <v>16912.435711916292</v>
      </c>
      <c r="W15" s="45">
        <v>14228.92</v>
      </c>
      <c r="X15" s="46">
        <v>2887748337</v>
      </c>
      <c r="Y15" s="151"/>
      <c r="Z15" s="155"/>
      <c r="AA15" s="44" t="s">
        <v>80</v>
      </c>
      <c r="AB15" s="45">
        <f t="shared" si="11"/>
        <v>94673.283422459892</v>
      </c>
      <c r="AC15" s="45">
        <f t="shared" si="18"/>
        <v>187</v>
      </c>
      <c r="AD15" s="45">
        <f t="shared" si="18"/>
        <v>17703904</v>
      </c>
      <c r="AE15" s="45">
        <f t="shared" si="12"/>
        <v>114014.1862745098</v>
      </c>
      <c r="AF15" s="45">
        <v>102</v>
      </c>
      <c r="AG15" s="45">
        <v>11629447</v>
      </c>
      <c r="AH15" s="45">
        <f t="shared" si="13"/>
        <v>71464.2</v>
      </c>
      <c r="AI15" s="45">
        <v>85</v>
      </c>
      <c r="AJ15" s="46">
        <v>6074457</v>
      </c>
      <c r="AK15" s="151"/>
      <c r="AL15" s="155"/>
      <c r="AM15" s="44" t="s">
        <v>80</v>
      </c>
      <c r="AN15" s="45">
        <f t="shared" si="14"/>
        <v>750586.24175824178</v>
      </c>
      <c r="AO15" s="45">
        <f t="shared" si="19"/>
        <v>91</v>
      </c>
      <c r="AP15" s="45">
        <f t="shared" si="19"/>
        <v>68303348</v>
      </c>
      <c r="AQ15" s="45">
        <f t="shared" si="15"/>
        <v>842216.67924528301</v>
      </c>
      <c r="AR15" s="45">
        <v>53</v>
      </c>
      <c r="AS15" s="45">
        <v>44637484</v>
      </c>
      <c r="AT15" s="45">
        <f t="shared" si="16"/>
        <v>622785.89473684214</v>
      </c>
      <c r="AU15" s="45">
        <v>38</v>
      </c>
      <c r="AV15" s="46">
        <v>23665864</v>
      </c>
    </row>
    <row r="16" spans="1:48" ht="24" customHeight="1">
      <c r="A16" s="151"/>
      <c r="B16" s="155"/>
      <c r="C16" s="44" t="s">
        <v>81</v>
      </c>
      <c r="D16" s="45">
        <f t="shared" si="0"/>
        <v>1405185.4201608272</v>
      </c>
      <c r="E16" s="45">
        <f t="shared" si="17"/>
        <v>3482</v>
      </c>
      <c r="F16" s="45">
        <f t="shared" si="17"/>
        <v>4892855633</v>
      </c>
      <c r="G16" s="45">
        <f t="shared" si="6"/>
        <v>1433531.2123893804</v>
      </c>
      <c r="H16" s="45">
        <v>1808</v>
      </c>
      <c r="I16" s="45">
        <v>2591824432</v>
      </c>
      <c r="J16" s="45">
        <f t="shared" si="2"/>
        <v>1374570.609916368</v>
      </c>
      <c r="K16" s="45">
        <v>1674</v>
      </c>
      <c r="L16" s="46">
        <v>2301031201</v>
      </c>
      <c r="M16" s="151"/>
      <c r="N16" s="155"/>
      <c r="O16" s="44" t="s">
        <v>81</v>
      </c>
      <c r="P16" s="45">
        <f t="shared" si="7"/>
        <v>16569.891260061315</v>
      </c>
      <c r="Q16" s="45">
        <v>62709.25</v>
      </c>
      <c r="R16" s="45">
        <f t="shared" si="8"/>
        <v>12469025442</v>
      </c>
      <c r="S16" s="45">
        <f t="shared" si="9"/>
        <v>17667.362528399735</v>
      </c>
      <c r="T16" s="45">
        <v>29599.75</v>
      </c>
      <c r="U16" s="45">
        <v>6275394168</v>
      </c>
      <c r="V16" s="81">
        <f t="shared" si="10"/>
        <v>15588.756686147479</v>
      </c>
      <c r="W16" s="45">
        <v>33109.5</v>
      </c>
      <c r="X16" s="46">
        <v>6193631274</v>
      </c>
      <c r="Y16" s="151"/>
      <c r="Z16" s="155"/>
      <c r="AA16" s="44" t="s">
        <v>81</v>
      </c>
      <c r="AB16" s="45">
        <f t="shared" si="11"/>
        <v>88442.359746434231</v>
      </c>
      <c r="AC16" s="45">
        <f t="shared" si="18"/>
        <v>631</v>
      </c>
      <c r="AD16" s="45">
        <f t="shared" si="18"/>
        <v>55807129</v>
      </c>
      <c r="AE16" s="45">
        <f t="shared" si="12"/>
        <v>105002.79661016949</v>
      </c>
      <c r="AF16" s="45">
        <v>295</v>
      </c>
      <c r="AG16" s="45">
        <v>30975825</v>
      </c>
      <c r="AH16" s="45">
        <f t="shared" si="13"/>
        <v>73902.690476190473</v>
      </c>
      <c r="AI16" s="45">
        <v>336</v>
      </c>
      <c r="AJ16" s="46">
        <v>24831304</v>
      </c>
      <c r="AK16" s="151"/>
      <c r="AL16" s="155"/>
      <c r="AM16" s="44" t="s">
        <v>81</v>
      </c>
      <c r="AN16" s="45">
        <f t="shared" si="14"/>
        <v>715874.79166666663</v>
      </c>
      <c r="AO16" s="45">
        <f t="shared" si="19"/>
        <v>240</v>
      </c>
      <c r="AP16" s="45">
        <f t="shared" si="19"/>
        <v>171809950</v>
      </c>
      <c r="AQ16" s="45">
        <f t="shared" si="15"/>
        <v>747492.35947712418</v>
      </c>
      <c r="AR16" s="45">
        <v>153</v>
      </c>
      <c r="AS16" s="45">
        <v>114366331</v>
      </c>
      <c r="AT16" s="45">
        <f t="shared" si="16"/>
        <v>660271.48275862064</v>
      </c>
      <c r="AU16" s="45">
        <v>87</v>
      </c>
      <c r="AV16" s="46">
        <v>57443619</v>
      </c>
    </row>
    <row r="17" spans="1:48" ht="24" customHeight="1">
      <c r="A17" s="151"/>
      <c r="B17" s="155"/>
      <c r="C17" s="44" t="s">
        <v>82</v>
      </c>
      <c r="D17" s="45">
        <f t="shared" si="0"/>
        <v>1395832.3848580441</v>
      </c>
      <c r="E17" s="45">
        <f t="shared" si="17"/>
        <v>1268</v>
      </c>
      <c r="F17" s="45">
        <f t="shared" si="17"/>
        <v>1769915464</v>
      </c>
      <c r="G17" s="45">
        <f t="shared" si="6"/>
        <v>1409547.5663430421</v>
      </c>
      <c r="H17" s="45">
        <v>618</v>
      </c>
      <c r="I17" s="45">
        <v>871100396</v>
      </c>
      <c r="J17" s="45">
        <f t="shared" si="2"/>
        <v>1382792.4123076922</v>
      </c>
      <c r="K17" s="45">
        <v>650</v>
      </c>
      <c r="L17" s="46">
        <v>898815068</v>
      </c>
      <c r="M17" s="151"/>
      <c r="N17" s="155"/>
      <c r="O17" s="44" t="s">
        <v>82</v>
      </c>
      <c r="P17" s="45">
        <f t="shared" si="7"/>
        <v>17515.121313430416</v>
      </c>
      <c r="Q17" s="45">
        <v>28789.75</v>
      </c>
      <c r="R17" s="45">
        <f t="shared" si="8"/>
        <v>6051071566</v>
      </c>
      <c r="S17" s="45">
        <f t="shared" si="9"/>
        <v>18328.614761370482</v>
      </c>
      <c r="T17" s="45">
        <v>11613.33</v>
      </c>
      <c r="U17" s="45">
        <v>2554275020</v>
      </c>
      <c r="V17" s="81">
        <f t="shared" si="10"/>
        <v>16965.101701441086</v>
      </c>
      <c r="W17" s="45">
        <v>17176.419999999998</v>
      </c>
      <c r="X17" s="46">
        <v>3496796546</v>
      </c>
      <c r="Y17" s="151"/>
      <c r="Z17" s="155"/>
      <c r="AA17" s="44" t="s">
        <v>82</v>
      </c>
      <c r="AB17" s="45">
        <f t="shared" si="11"/>
        <v>88879.967741935485</v>
      </c>
      <c r="AC17" s="45">
        <f t="shared" si="18"/>
        <v>217</v>
      </c>
      <c r="AD17" s="45">
        <f t="shared" si="18"/>
        <v>19286953</v>
      </c>
      <c r="AE17" s="45">
        <f t="shared" si="12"/>
        <v>101854.04464285714</v>
      </c>
      <c r="AF17" s="45">
        <v>112</v>
      </c>
      <c r="AG17" s="45">
        <v>11407653</v>
      </c>
      <c r="AH17" s="45">
        <f t="shared" si="13"/>
        <v>75040.952380952382</v>
      </c>
      <c r="AI17" s="45">
        <v>105</v>
      </c>
      <c r="AJ17" s="46">
        <v>7879300</v>
      </c>
      <c r="AK17" s="151"/>
      <c r="AL17" s="155"/>
      <c r="AM17" s="44" t="s">
        <v>82</v>
      </c>
      <c r="AN17" s="45">
        <f t="shared" si="14"/>
        <v>732487.495412844</v>
      </c>
      <c r="AO17" s="45">
        <f t="shared" si="19"/>
        <v>109</v>
      </c>
      <c r="AP17" s="45">
        <f t="shared" si="19"/>
        <v>79841137</v>
      </c>
      <c r="AQ17" s="45">
        <f t="shared" si="15"/>
        <v>760985.21052631584</v>
      </c>
      <c r="AR17" s="45">
        <v>57</v>
      </c>
      <c r="AS17" s="45">
        <v>43376157</v>
      </c>
      <c r="AT17" s="45">
        <f t="shared" si="16"/>
        <v>701249.61538461538</v>
      </c>
      <c r="AU17" s="45">
        <v>52</v>
      </c>
      <c r="AV17" s="46">
        <v>36464980</v>
      </c>
    </row>
    <row r="18" spans="1:48" ht="24" customHeight="1">
      <c r="A18" s="151"/>
      <c r="B18" s="155"/>
      <c r="C18" s="44" t="s">
        <v>83</v>
      </c>
      <c r="D18" s="45">
        <f t="shared" si="0"/>
        <v>1395071.4200109951</v>
      </c>
      <c r="E18" s="45">
        <f t="shared" si="17"/>
        <v>1819</v>
      </c>
      <c r="F18" s="45">
        <f t="shared" si="17"/>
        <v>2537634913</v>
      </c>
      <c r="G18" s="45">
        <f t="shared" si="6"/>
        <v>1388962.3407258065</v>
      </c>
      <c r="H18" s="45">
        <v>992</v>
      </c>
      <c r="I18" s="45">
        <v>1377850642</v>
      </c>
      <c r="J18" s="45">
        <f t="shared" si="2"/>
        <v>1402399.3603385731</v>
      </c>
      <c r="K18" s="45">
        <v>827</v>
      </c>
      <c r="L18" s="46">
        <v>1159784271</v>
      </c>
      <c r="M18" s="151"/>
      <c r="N18" s="155"/>
      <c r="O18" s="44" t="s">
        <v>83</v>
      </c>
      <c r="P18" s="45">
        <f t="shared" si="7"/>
        <v>16949.635842327589</v>
      </c>
      <c r="Q18" s="45">
        <v>37246</v>
      </c>
      <c r="R18" s="45">
        <f t="shared" si="8"/>
        <v>7575673639</v>
      </c>
      <c r="S18" s="45">
        <f t="shared" si="9"/>
        <v>18051.516787062446</v>
      </c>
      <c r="T18" s="45">
        <v>15850.5</v>
      </c>
      <c r="U18" s="45">
        <v>3433506802</v>
      </c>
      <c r="V18" s="81">
        <f t="shared" si="10"/>
        <v>16133.325687644598</v>
      </c>
      <c r="W18" s="45">
        <v>21395.5</v>
      </c>
      <c r="X18" s="46">
        <v>4142166837</v>
      </c>
      <c r="Y18" s="151"/>
      <c r="Z18" s="155"/>
      <c r="AA18" s="44" t="s">
        <v>83</v>
      </c>
      <c r="AB18" s="45">
        <f t="shared" si="11"/>
        <v>97741.873015873018</v>
      </c>
      <c r="AC18" s="45">
        <f t="shared" si="18"/>
        <v>252</v>
      </c>
      <c r="AD18" s="45">
        <f t="shared" si="18"/>
        <v>24630952</v>
      </c>
      <c r="AE18" s="45">
        <f t="shared" si="12"/>
        <v>110852.47468354431</v>
      </c>
      <c r="AF18" s="45">
        <v>158</v>
      </c>
      <c r="AG18" s="45">
        <v>17514691</v>
      </c>
      <c r="AH18" s="45">
        <f t="shared" si="13"/>
        <v>75704.904255319154</v>
      </c>
      <c r="AI18" s="45">
        <v>94</v>
      </c>
      <c r="AJ18" s="46">
        <v>7116261</v>
      </c>
      <c r="AK18" s="151"/>
      <c r="AL18" s="155"/>
      <c r="AM18" s="44" t="s">
        <v>83</v>
      </c>
      <c r="AN18" s="45">
        <f t="shared" si="14"/>
        <v>770047.94350282487</v>
      </c>
      <c r="AO18" s="45">
        <f t="shared" si="19"/>
        <v>177</v>
      </c>
      <c r="AP18" s="45">
        <f t="shared" si="19"/>
        <v>136298486</v>
      </c>
      <c r="AQ18" s="45">
        <f t="shared" si="15"/>
        <v>747896.60952380951</v>
      </c>
      <c r="AR18" s="45">
        <v>105</v>
      </c>
      <c r="AS18" s="45">
        <v>78529144</v>
      </c>
      <c r="AT18" s="45">
        <f t="shared" si="16"/>
        <v>802351.97222222225</v>
      </c>
      <c r="AU18" s="45">
        <v>72</v>
      </c>
      <c r="AV18" s="46">
        <v>57769342</v>
      </c>
    </row>
    <row r="19" spans="1:48" ht="24" customHeight="1">
      <c r="A19" s="151"/>
      <c r="B19" s="155"/>
      <c r="C19" s="44" t="s">
        <v>84</v>
      </c>
      <c r="D19" s="45">
        <f t="shared" si="0"/>
        <v>1404467.8345705196</v>
      </c>
      <c r="E19" s="45">
        <f t="shared" si="17"/>
        <v>943</v>
      </c>
      <c r="F19" s="45">
        <f t="shared" si="17"/>
        <v>1324413168</v>
      </c>
      <c r="G19" s="45">
        <f t="shared" si="6"/>
        <v>1423713.516605166</v>
      </c>
      <c r="H19" s="45">
        <v>542</v>
      </c>
      <c r="I19" s="45">
        <v>771652726</v>
      </c>
      <c r="J19" s="45">
        <f t="shared" si="2"/>
        <v>1378454.9675810474</v>
      </c>
      <c r="K19" s="45">
        <v>401</v>
      </c>
      <c r="L19" s="46">
        <v>552760442</v>
      </c>
      <c r="M19" s="151"/>
      <c r="N19" s="155"/>
      <c r="O19" s="44" t="s">
        <v>84</v>
      </c>
      <c r="P19" s="45">
        <f t="shared" si="7"/>
        <v>17238.431005742295</v>
      </c>
      <c r="Q19" s="45">
        <v>13855.67</v>
      </c>
      <c r="R19" s="45">
        <f t="shared" si="8"/>
        <v>2866200136</v>
      </c>
      <c r="S19" s="45">
        <f t="shared" si="9"/>
        <v>18396.807248743065</v>
      </c>
      <c r="T19" s="45">
        <v>6431</v>
      </c>
      <c r="U19" s="45">
        <v>1419718409</v>
      </c>
      <c r="V19" s="81">
        <f t="shared" si="10"/>
        <v>16235.084376365099</v>
      </c>
      <c r="W19" s="45">
        <v>7424.67</v>
      </c>
      <c r="X19" s="46">
        <v>1446481727</v>
      </c>
      <c r="Y19" s="151"/>
      <c r="Z19" s="155"/>
      <c r="AA19" s="44" t="s">
        <v>84</v>
      </c>
      <c r="AB19" s="45">
        <f t="shared" si="11"/>
        <v>85179.81034482758</v>
      </c>
      <c r="AC19" s="45">
        <f t="shared" si="18"/>
        <v>174</v>
      </c>
      <c r="AD19" s="45">
        <f t="shared" si="18"/>
        <v>14821287</v>
      </c>
      <c r="AE19" s="45">
        <f t="shared" si="12"/>
        <v>97927.049019607846</v>
      </c>
      <c r="AF19" s="45">
        <v>102</v>
      </c>
      <c r="AG19" s="45">
        <v>9988559</v>
      </c>
      <c r="AH19" s="45">
        <f t="shared" si="13"/>
        <v>67121.222222222219</v>
      </c>
      <c r="AI19" s="45">
        <v>72</v>
      </c>
      <c r="AJ19" s="46">
        <v>4832728</v>
      </c>
      <c r="AK19" s="151"/>
      <c r="AL19" s="155"/>
      <c r="AM19" s="44" t="s">
        <v>84</v>
      </c>
      <c r="AN19" s="45">
        <f t="shared" si="14"/>
        <v>872351.30508474575</v>
      </c>
      <c r="AO19" s="45">
        <f t="shared" si="19"/>
        <v>59</v>
      </c>
      <c r="AP19" s="45">
        <f t="shared" si="19"/>
        <v>51468727</v>
      </c>
      <c r="AQ19" s="45">
        <f t="shared" si="15"/>
        <v>923507.37142857141</v>
      </c>
      <c r="AR19" s="45">
        <v>35</v>
      </c>
      <c r="AS19" s="45">
        <v>32322758</v>
      </c>
      <c r="AT19" s="45">
        <f t="shared" si="16"/>
        <v>797748.70833333337</v>
      </c>
      <c r="AU19" s="45">
        <v>24</v>
      </c>
      <c r="AV19" s="46">
        <v>19145969</v>
      </c>
    </row>
    <row r="20" spans="1:48" ht="24" customHeight="1">
      <c r="A20" s="151"/>
      <c r="B20" s="155"/>
      <c r="C20" s="44" t="s">
        <v>85</v>
      </c>
      <c r="D20" s="45">
        <f t="shared" si="0"/>
        <v>1303055.029059829</v>
      </c>
      <c r="E20" s="45">
        <f t="shared" si="17"/>
        <v>2340</v>
      </c>
      <c r="F20" s="45">
        <f t="shared" si="17"/>
        <v>3049148768</v>
      </c>
      <c r="G20" s="45">
        <f t="shared" si="6"/>
        <v>1290198.1622317596</v>
      </c>
      <c r="H20" s="45">
        <v>1165</v>
      </c>
      <c r="I20" s="45">
        <v>1503080859</v>
      </c>
      <c r="J20" s="45">
        <f t="shared" si="2"/>
        <v>1315802.475744681</v>
      </c>
      <c r="K20" s="45">
        <v>1175</v>
      </c>
      <c r="L20" s="46">
        <v>1546067909</v>
      </c>
      <c r="M20" s="151"/>
      <c r="N20" s="155"/>
      <c r="O20" s="44" t="s">
        <v>85</v>
      </c>
      <c r="P20" s="45">
        <f t="shared" si="7"/>
        <v>16482.598943646597</v>
      </c>
      <c r="Q20" s="45">
        <v>35806.83</v>
      </c>
      <c r="R20" s="45">
        <f t="shared" si="8"/>
        <v>7082275420</v>
      </c>
      <c r="S20" s="45">
        <f t="shared" si="9"/>
        <v>17550.877297565821</v>
      </c>
      <c r="T20" s="45">
        <v>14929.75</v>
      </c>
      <c r="U20" s="45">
        <v>3144362524</v>
      </c>
      <c r="V20" s="81">
        <f t="shared" si="10"/>
        <v>15718.644944599531</v>
      </c>
      <c r="W20" s="45">
        <v>20877.080000000002</v>
      </c>
      <c r="X20" s="46">
        <v>3937912896</v>
      </c>
      <c r="Y20" s="151"/>
      <c r="Z20" s="155"/>
      <c r="AA20" s="44" t="s">
        <v>85</v>
      </c>
      <c r="AB20" s="45">
        <f t="shared" si="11"/>
        <v>92102.055363321793</v>
      </c>
      <c r="AC20" s="45">
        <f t="shared" si="18"/>
        <v>289</v>
      </c>
      <c r="AD20" s="45">
        <f t="shared" si="18"/>
        <v>26617494</v>
      </c>
      <c r="AE20" s="45">
        <f t="shared" si="12"/>
        <v>112442.23770491804</v>
      </c>
      <c r="AF20" s="45">
        <v>122</v>
      </c>
      <c r="AG20" s="45">
        <v>13717953</v>
      </c>
      <c r="AH20" s="45">
        <f t="shared" si="13"/>
        <v>77242.760479041914</v>
      </c>
      <c r="AI20" s="45">
        <v>167</v>
      </c>
      <c r="AJ20" s="46">
        <v>12899541</v>
      </c>
      <c r="AK20" s="151"/>
      <c r="AL20" s="155"/>
      <c r="AM20" s="44" t="s">
        <v>85</v>
      </c>
      <c r="AN20" s="45">
        <f t="shared" si="14"/>
        <v>770904.42307692312</v>
      </c>
      <c r="AO20" s="45">
        <f t="shared" si="19"/>
        <v>182</v>
      </c>
      <c r="AP20" s="45">
        <f t="shared" si="19"/>
        <v>140304605</v>
      </c>
      <c r="AQ20" s="45">
        <f t="shared" si="15"/>
        <v>706571.76785714284</v>
      </c>
      <c r="AR20" s="45">
        <v>112</v>
      </c>
      <c r="AS20" s="45">
        <v>79136038</v>
      </c>
      <c r="AT20" s="45">
        <f t="shared" si="16"/>
        <v>873836.67142857146</v>
      </c>
      <c r="AU20" s="45">
        <v>70</v>
      </c>
      <c r="AV20" s="46">
        <v>61168567</v>
      </c>
    </row>
    <row r="21" spans="1:48" ht="24" customHeight="1">
      <c r="A21" s="151"/>
      <c r="B21" s="155"/>
      <c r="C21" s="44" t="s">
        <v>86</v>
      </c>
      <c r="D21" s="45">
        <f t="shared" si="0"/>
        <v>1160776.9688041594</v>
      </c>
      <c r="E21" s="45">
        <f t="shared" si="17"/>
        <v>577</v>
      </c>
      <c r="F21" s="45">
        <f t="shared" si="17"/>
        <v>669768311</v>
      </c>
      <c r="G21" s="45">
        <f t="shared" si="6"/>
        <v>1240527.6539792388</v>
      </c>
      <c r="H21" s="45">
        <v>289</v>
      </c>
      <c r="I21" s="45">
        <v>358512492</v>
      </c>
      <c r="J21" s="45">
        <f t="shared" si="2"/>
        <v>1080749.3715277778</v>
      </c>
      <c r="K21" s="45">
        <v>288</v>
      </c>
      <c r="L21" s="46">
        <v>311255819</v>
      </c>
      <c r="M21" s="151"/>
      <c r="N21" s="155"/>
      <c r="O21" s="44" t="s">
        <v>86</v>
      </c>
      <c r="P21" s="45">
        <f t="shared" si="7"/>
        <v>16717.176383386315</v>
      </c>
      <c r="Q21" s="45">
        <v>8301.67</v>
      </c>
      <c r="R21" s="45">
        <f t="shared" si="8"/>
        <v>1665365780</v>
      </c>
      <c r="S21" s="45">
        <f t="shared" si="9"/>
        <v>17714.449799086087</v>
      </c>
      <c r="T21" s="45">
        <v>3265.08</v>
      </c>
      <c r="U21" s="45">
        <v>694069149</v>
      </c>
      <c r="V21" s="81">
        <f t="shared" si="10"/>
        <v>16070.703913502153</v>
      </c>
      <c r="W21" s="45">
        <v>5036.58</v>
      </c>
      <c r="X21" s="46">
        <v>971296631</v>
      </c>
      <c r="Y21" s="151"/>
      <c r="Z21" s="155"/>
      <c r="AA21" s="44" t="s">
        <v>86</v>
      </c>
      <c r="AB21" s="45">
        <f t="shared" si="11"/>
        <v>120119.98165137615</v>
      </c>
      <c r="AC21" s="45">
        <f t="shared" si="18"/>
        <v>109</v>
      </c>
      <c r="AD21" s="45">
        <f t="shared" si="18"/>
        <v>13093078</v>
      </c>
      <c r="AE21" s="45">
        <f t="shared" si="12"/>
        <v>125427.69354838709</v>
      </c>
      <c r="AF21" s="45">
        <v>62</v>
      </c>
      <c r="AG21" s="45">
        <v>7776517</v>
      </c>
      <c r="AH21" s="45">
        <f t="shared" si="13"/>
        <v>113118.31914893616</v>
      </c>
      <c r="AI21" s="45">
        <v>47</v>
      </c>
      <c r="AJ21" s="46">
        <v>5316561</v>
      </c>
      <c r="AK21" s="151"/>
      <c r="AL21" s="155"/>
      <c r="AM21" s="44" t="s">
        <v>86</v>
      </c>
      <c r="AN21" s="45">
        <f t="shared" si="14"/>
        <v>722575.66666666663</v>
      </c>
      <c r="AO21" s="45">
        <f t="shared" si="19"/>
        <v>39</v>
      </c>
      <c r="AP21" s="45">
        <f t="shared" si="19"/>
        <v>28180451</v>
      </c>
      <c r="AQ21" s="45">
        <f t="shared" si="15"/>
        <v>709861.21052631584</v>
      </c>
      <c r="AR21" s="45">
        <v>19</v>
      </c>
      <c r="AS21" s="45">
        <v>13487363</v>
      </c>
      <c r="AT21" s="45">
        <f t="shared" si="16"/>
        <v>734654.4</v>
      </c>
      <c r="AU21" s="45">
        <v>20</v>
      </c>
      <c r="AV21" s="46">
        <v>14693088</v>
      </c>
    </row>
    <row r="22" spans="1:48" ht="24" customHeight="1">
      <c r="A22" s="151"/>
      <c r="B22" s="155"/>
      <c r="C22" s="44" t="s">
        <v>87</v>
      </c>
      <c r="D22" s="45">
        <f t="shared" si="0"/>
        <v>1273456.2851531815</v>
      </c>
      <c r="E22" s="45">
        <f t="shared" si="17"/>
        <v>1273</v>
      </c>
      <c r="F22" s="45">
        <f t="shared" si="17"/>
        <v>1621109851</v>
      </c>
      <c r="G22" s="45">
        <f t="shared" si="6"/>
        <v>1268450.9983660132</v>
      </c>
      <c r="H22" s="45">
        <v>612</v>
      </c>
      <c r="I22" s="45">
        <v>776292011</v>
      </c>
      <c r="J22" s="45">
        <f t="shared" si="2"/>
        <v>1278090.5295007564</v>
      </c>
      <c r="K22" s="45">
        <v>661</v>
      </c>
      <c r="L22" s="46">
        <v>844817840</v>
      </c>
      <c r="M22" s="151"/>
      <c r="N22" s="155"/>
      <c r="O22" s="44" t="s">
        <v>87</v>
      </c>
      <c r="P22" s="45">
        <f t="shared" si="7"/>
        <v>18216.89614129519</v>
      </c>
      <c r="Q22" s="45">
        <v>19068.919999999998</v>
      </c>
      <c r="R22" s="45">
        <f t="shared" si="8"/>
        <v>4168518422</v>
      </c>
      <c r="S22" s="45">
        <f t="shared" si="9"/>
        <v>19573.649234540342</v>
      </c>
      <c r="T22" s="45">
        <v>7615.25</v>
      </c>
      <c r="U22" s="45">
        <v>1788698788</v>
      </c>
      <c r="V22" s="81">
        <f t="shared" si="10"/>
        <v>17314.825975720738</v>
      </c>
      <c r="W22" s="45">
        <v>11453.67</v>
      </c>
      <c r="X22" s="46">
        <v>2379819634</v>
      </c>
      <c r="Y22" s="151"/>
      <c r="Z22" s="155"/>
      <c r="AA22" s="44" t="s">
        <v>87</v>
      </c>
      <c r="AB22" s="45">
        <f t="shared" si="11"/>
        <v>97952.97687861271</v>
      </c>
      <c r="AC22" s="45">
        <f t="shared" si="18"/>
        <v>173</v>
      </c>
      <c r="AD22" s="45">
        <f t="shared" si="18"/>
        <v>16945865</v>
      </c>
      <c r="AE22" s="45">
        <f t="shared" si="12"/>
        <v>89460.5</v>
      </c>
      <c r="AF22" s="45">
        <v>104</v>
      </c>
      <c r="AG22" s="45">
        <v>9303892</v>
      </c>
      <c r="AH22" s="45">
        <f t="shared" si="13"/>
        <v>110753.23188405797</v>
      </c>
      <c r="AI22" s="45">
        <v>69</v>
      </c>
      <c r="AJ22" s="46">
        <v>7641973</v>
      </c>
      <c r="AK22" s="151"/>
      <c r="AL22" s="155"/>
      <c r="AM22" s="44" t="s">
        <v>87</v>
      </c>
      <c r="AN22" s="45">
        <f t="shared" si="14"/>
        <v>725590.01204819279</v>
      </c>
      <c r="AO22" s="45">
        <f t="shared" si="19"/>
        <v>83</v>
      </c>
      <c r="AP22" s="45">
        <f t="shared" si="19"/>
        <v>60223971</v>
      </c>
      <c r="AQ22" s="45">
        <f t="shared" si="15"/>
        <v>780821.13725490193</v>
      </c>
      <c r="AR22" s="45">
        <v>51</v>
      </c>
      <c r="AS22" s="45">
        <v>39821878</v>
      </c>
      <c r="AT22" s="45">
        <f t="shared" si="16"/>
        <v>637565.40625</v>
      </c>
      <c r="AU22" s="45">
        <v>32</v>
      </c>
      <c r="AV22" s="46">
        <v>20402093</v>
      </c>
    </row>
    <row r="23" spans="1:48" ht="24" customHeight="1">
      <c r="A23" s="151"/>
      <c r="B23" s="155"/>
      <c r="C23" s="44" t="s">
        <v>88</v>
      </c>
      <c r="D23" s="45">
        <f t="shared" si="0"/>
        <v>1405869.9226361031</v>
      </c>
      <c r="E23" s="45">
        <f t="shared" si="17"/>
        <v>349</v>
      </c>
      <c r="F23" s="45">
        <f t="shared" si="17"/>
        <v>490648603</v>
      </c>
      <c r="G23" s="45">
        <f t="shared" si="6"/>
        <v>1373506.2588832488</v>
      </c>
      <c r="H23" s="45">
        <v>197</v>
      </c>
      <c r="I23" s="45">
        <v>270580733</v>
      </c>
      <c r="J23" s="45">
        <f t="shared" si="2"/>
        <v>1447814.9342105263</v>
      </c>
      <c r="K23" s="45">
        <v>152</v>
      </c>
      <c r="L23" s="46">
        <v>220067870</v>
      </c>
      <c r="M23" s="151"/>
      <c r="N23" s="155"/>
      <c r="O23" s="44" t="s">
        <v>88</v>
      </c>
      <c r="P23" s="45">
        <f t="shared" si="7"/>
        <v>17746.67841215547</v>
      </c>
      <c r="Q23" s="45">
        <v>4946.58</v>
      </c>
      <c r="R23" s="45">
        <f t="shared" si="8"/>
        <v>1053424374</v>
      </c>
      <c r="S23" s="45">
        <f t="shared" si="9"/>
        <v>18679.6140034245</v>
      </c>
      <c r="T23" s="45">
        <v>1800.75</v>
      </c>
      <c r="U23" s="45">
        <v>403647779</v>
      </c>
      <c r="V23" s="81">
        <f t="shared" si="10"/>
        <v>17212.643271674991</v>
      </c>
      <c r="W23" s="45">
        <v>3145.83</v>
      </c>
      <c r="X23" s="46">
        <v>649776595</v>
      </c>
      <c r="Y23" s="151"/>
      <c r="Z23" s="155"/>
      <c r="AA23" s="44" t="s">
        <v>88</v>
      </c>
      <c r="AB23" s="45">
        <f t="shared" si="11"/>
        <v>58922</v>
      </c>
      <c r="AC23" s="45">
        <f t="shared" si="18"/>
        <v>17</v>
      </c>
      <c r="AD23" s="45">
        <f t="shared" si="18"/>
        <v>1001674</v>
      </c>
      <c r="AE23" s="45">
        <f t="shared" si="12"/>
        <v>75306.875</v>
      </c>
      <c r="AF23" s="45">
        <v>8</v>
      </c>
      <c r="AG23" s="45">
        <v>602455</v>
      </c>
      <c r="AH23" s="45">
        <f t="shared" si="13"/>
        <v>44357.666666666664</v>
      </c>
      <c r="AI23" s="45">
        <v>9</v>
      </c>
      <c r="AJ23" s="46">
        <v>399219</v>
      </c>
      <c r="AK23" s="151"/>
      <c r="AL23" s="155"/>
      <c r="AM23" s="44" t="s">
        <v>88</v>
      </c>
      <c r="AN23" s="45">
        <f t="shared" si="14"/>
        <v>620582.32142857148</v>
      </c>
      <c r="AO23" s="45">
        <f t="shared" si="19"/>
        <v>28</v>
      </c>
      <c r="AP23" s="45">
        <f t="shared" si="19"/>
        <v>17376305</v>
      </c>
      <c r="AQ23" s="45">
        <f t="shared" si="15"/>
        <v>792694.72222222225</v>
      </c>
      <c r="AR23" s="45">
        <v>18</v>
      </c>
      <c r="AS23" s="45">
        <v>14268505</v>
      </c>
      <c r="AT23" s="45">
        <f t="shared" si="16"/>
        <v>310780</v>
      </c>
      <c r="AU23" s="45">
        <v>10</v>
      </c>
      <c r="AV23" s="46">
        <v>3107800</v>
      </c>
    </row>
    <row r="24" spans="1:48" ht="24" customHeight="1">
      <c r="A24" s="151"/>
      <c r="B24" s="155"/>
      <c r="C24" s="44" t="s">
        <v>89</v>
      </c>
      <c r="D24" s="45">
        <f t="shared" si="0"/>
        <v>1513477.9175257732</v>
      </c>
      <c r="E24" s="45">
        <f t="shared" si="17"/>
        <v>1843</v>
      </c>
      <c r="F24" s="45">
        <f t="shared" si="17"/>
        <v>2789339802</v>
      </c>
      <c r="G24" s="45">
        <f t="shared" si="6"/>
        <v>1476834.8816631129</v>
      </c>
      <c r="H24" s="45">
        <v>938</v>
      </c>
      <c r="I24" s="45">
        <v>1385271119</v>
      </c>
      <c r="J24" s="45">
        <f t="shared" si="2"/>
        <v>1551457.1082872928</v>
      </c>
      <c r="K24" s="45">
        <v>905</v>
      </c>
      <c r="L24" s="46">
        <v>1404068683</v>
      </c>
      <c r="M24" s="151"/>
      <c r="N24" s="155"/>
      <c r="O24" s="44" t="s">
        <v>89</v>
      </c>
      <c r="P24" s="45">
        <f t="shared" si="7"/>
        <v>19210.673280981347</v>
      </c>
      <c r="Q24" s="45">
        <v>27802.83</v>
      </c>
      <c r="R24" s="45">
        <f t="shared" si="8"/>
        <v>6409333001</v>
      </c>
      <c r="S24" s="45">
        <f t="shared" si="9"/>
        <v>20206.602239366883</v>
      </c>
      <c r="T24" s="45">
        <v>10878.67</v>
      </c>
      <c r="U24" s="45">
        <v>2637851491</v>
      </c>
      <c r="V24" s="81">
        <f t="shared" si="10"/>
        <v>18570.489768971438</v>
      </c>
      <c r="W24" s="45">
        <v>16924.169999999998</v>
      </c>
      <c r="X24" s="46">
        <v>3771481510</v>
      </c>
      <c r="Y24" s="151"/>
      <c r="Z24" s="155"/>
      <c r="AA24" s="44" t="s">
        <v>89</v>
      </c>
      <c r="AB24" s="45">
        <f t="shared" si="11"/>
        <v>99346.377622377622</v>
      </c>
      <c r="AC24" s="45">
        <f t="shared" si="18"/>
        <v>143</v>
      </c>
      <c r="AD24" s="45">
        <f t="shared" si="18"/>
        <v>14206532</v>
      </c>
      <c r="AE24" s="45">
        <f t="shared" si="12"/>
        <v>130172.01515151515</v>
      </c>
      <c r="AF24" s="45">
        <v>66</v>
      </c>
      <c r="AG24" s="45">
        <v>8591353</v>
      </c>
      <c r="AH24" s="45">
        <f t="shared" si="13"/>
        <v>72924.402597402601</v>
      </c>
      <c r="AI24" s="45">
        <v>77</v>
      </c>
      <c r="AJ24" s="46">
        <v>5615179</v>
      </c>
      <c r="AK24" s="151"/>
      <c r="AL24" s="155"/>
      <c r="AM24" s="44" t="s">
        <v>89</v>
      </c>
      <c r="AN24" s="45">
        <f t="shared" si="14"/>
        <v>762282.30630630627</v>
      </c>
      <c r="AO24" s="45">
        <f t="shared" si="19"/>
        <v>111</v>
      </c>
      <c r="AP24" s="45">
        <f t="shared" si="19"/>
        <v>84613336</v>
      </c>
      <c r="AQ24" s="45">
        <f t="shared" si="15"/>
        <v>816400.88888888888</v>
      </c>
      <c r="AR24" s="45">
        <v>63</v>
      </c>
      <c r="AS24" s="45">
        <v>51433256</v>
      </c>
      <c r="AT24" s="45">
        <f t="shared" si="16"/>
        <v>691251.66666666663</v>
      </c>
      <c r="AU24" s="45">
        <v>48</v>
      </c>
      <c r="AV24" s="46">
        <v>33180080</v>
      </c>
    </row>
    <row r="25" spans="1:48" ht="24" customHeight="1">
      <c r="A25" s="151"/>
      <c r="B25" s="155"/>
      <c r="C25" s="44" t="s">
        <v>90</v>
      </c>
      <c r="D25" s="45">
        <f t="shared" si="0"/>
        <v>1510098.7234262126</v>
      </c>
      <c r="E25" s="45">
        <f t="shared" si="17"/>
        <v>1938</v>
      </c>
      <c r="F25" s="45">
        <f t="shared" si="17"/>
        <v>2926571326</v>
      </c>
      <c r="G25" s="45">
        <f t="shared" si="6"/>
        <v>1513544.4170168068</v>
      </c>
      <c r="H25" s="45">
        <v>952</v>
      </c>
      <c r="I25" s="45">
        <v>1440894285</v>
      </c>
      <c r="J25" s="45">
        <f t="shared" si="2"/>
        <v>1506771.8468559838</v>
      </c>
      <c r="K25" s="45">
        <v>986</v>
      </c>
      <c r="L25" s="46">
        <v>1485677041</v>
      </c>
      <c r="M25" s="151"/>
      <c r="N25" s="155"/>
      <c r="O25" s="44" t="s">
        <v>90</v>
      </c>
      <c r="P25" s="45">
        <f t="shared" si="7"/>
        <v>18009.807506308345</v>
      </c>
      <c r="Q25" s="45">
        <v>24110.92</v>
      </c>
      <c r="R25" s="45">
        <f t="shared" si="8"/>
        <v>5210796336</v>
      </c>
      <c r="S25" s="45">
        <f t="shared" si="9"/>
        <v>18875.975464995699</v>
      </c>
      <c r="T25" s="45">
        <v>11330.75</v>
      </c>
      <c r="U25" s="45">
        <v>2566547508</v>
      </c>
      <c r="V25" s="81">
        <f t="shared" si="10"/>
        <v>17241.873073675859</v>
      </c>
      <c r="W25" s="45">
        <v>12780.17</v>
      </c>
      <c r="X25" s="46">
        <v>2644248828</v>
      </c>
      <c r="Y25" s="151"/>
      <c r="Z25" s="155"/>
      <c r="AA25" s="44" t="s">
        <v>90</v>
      </c>
      <c r="AB25" s="45">
        <f t="shared" si="11"/>
        <v>119667.72596153847</v>
      </c>
      <c r="AC25" s="45">
        <f t="shared" si="18"/>
        <v>208</v>
      </c>
      <c r="AD25" s="45">
        <f t="shared" si="18"/>
        <v>24890887</v>
      </c>
      <c r="AE25" s="45">
        <f t="shared" si="12"/>
        <v>142107.82242990655</v>
      </c>
      <c r="AF25" s="45">
        <v>107</v>
      </c>
      <c r="AG25" s="45">
        <v>15205537</v>
      </c>
      <c r="AH25" s="45">
        <f t="shared" si="13"/>
        <v>95894.554455445541</v>
      </c>
      <c r="AI25" s="45">
        <v>101</v>
      </c>
      <c r="AJ25" s="46">
        <v>9685350</v>
      </c>
      <c r="AK25" s="151"/>
      <c r="AL25" s="155"/>
      <c r="AM25" s="44" t="s">
        <v>90</v>
      </c>
      <c r="AN25" s="45">
        <f t="shared" si="14"/>
        <v>632974.21917808219</v>
      </c>
      <c r="AO25" s="45">
        <f t="shared" si="19"/>
        <v>73</v>
      </c>
      <c r="AP25" s="45">
        <f t="shared" si="19"/>
        <v>46207118</v>
      </c>
      <c r="AQ25" s="45">
        <f t="shared" si="15"/>
        <v>572819.45833333337</v>
      </c>
      <c r="AR25" s="45">
        <v>48</v>
      </c>
      <c r="AS25" s="45">
        <v>27495334</v>
      </c>
      <c r="AT25" s="45">
        <f t="shared" si="16"/>
        <v>748471.36</v>
      </c>
      <c r="AU25" s="45">
        <v>25</v>
      </c>
      <c r="AV25" s="46">
        <v>18711784</v>
      </c>
    </row>
    <row r="26" spans="1:48" ht="24" customHeight="1">
      <c r="A26" s="151"/>
      <c r="B26" s="155"/>
      <c r="C26" s="44" t="s">
        <v>91</v>
      </c>
      <c r="D26" s="45">
        <f t="shared" si="0"/>
        <v>1405318.2982045277</v>
      </c>
      <c r="E26" s="45">
        <f t="shared" si="17"/>
        <v>1281</v>
      </c>
      <c r="F26" s="45">
        <f t="shared" si="17"/>
        <v>1800212740</v>
      </c>
      <c r="G26" s="45">
        <f t="shared" si="6"/>
        <v>1387018.9953416148</v>
      </c>
      <c r="H26" s="45">
        <v>644</v>
      </c>
      <c r="I26" s="45">
        <v>893240233</v>
      </c>
      <c r="J26" s="45">
        <f t="shared" si="2"/>
        <v>1423818.6923076923</v>
      </c>
      <c r="K26" s="45">
        <v>637</v>
      </c>
      <c r="L26" s="46">
        <v>906972507</v>
      </c>
      <c r="M26" s="151"/>
      <c r="N26" s="155"/>
      <c r="O26" s="44" t="s">
        <v>91</v>
      </c>
      <c r="P26" s="45">
        <f t="shared" si="7"/>
        <v>17511.976474392264</v>
      </c>
      <c r="Q26" s="45">
        <v>25514.75</v>
      </c>
      <c r="R26" s="45">
        <f t="shared" si="8"/>
        <v>5361764421</v>
      </c>
      <c r="S26" s="45">
        <f t="shared" si="9"/>
        <v>18262.644341942072</v>
      </c>
      <c r="T26" s="45">
        <v>10943.92</v>
      </c>
      <c r="U26" s="45">
        <v>2398379024</v>
      </c>
      <c r="V26" s="81">
        <f t="shared" si="10"/>
        <v>16948.161709616634</v>
      </c>
      <c r="W26" s="45">
        <v>14570.83</v>
      </c>
      <c r="X26" s="46">
        <v>2963385397</v>
      </c>
      <c r="Y26" s="151"/>
      <c r="Z26" s="155"/>
      <c r="AA26" s="44" t="s">
        <v>91</v>
      </c>
      <c r="AB26" s="45">
        <f t="shared" si="11"/>
        <v>103323.72093023256</v>
      </c>
      <c r="AC26" s="45">
        <f t="shared" si="18"/>
        <v>215</v>
      </c>
      <c r="AD26" s="45">
        <f t="shared" si="18"/>
        <v>22214600</v>
      </c>
      <c r="AE26" s="45">
        <f t="shared" si="12"/>
        <v>123027.35833333334</v>
      </c>
      <c r="AF26" s="45">
        <v>120</v>
      </c>
      <c r="AG26" s="45">
        <v>14763283</v>
      </c>
      <c r="AH26" s="45">
        <f t="shared" si="13"/>
        <v>78434.915789473685</v>
      </c>
      <c r="AI26" s="45">
        <v>95</v>
      </c>
      <c r="AJ26" s="46">
        <v>7451317</v>
      </c>
      <c r="AK26" s="151"/>
      <c r="AL26" s="155"/>
      <c r="AM26" s="44" t="s">
        <v>91</v>
      </c>
      <c r="AN26" s="45">
        <f t="shared" si="14"/>
        <v>716847.31578947371</v>
      </c>
      <c r="AO26" s="45">
        <f t="shared" si="19"/>
        <v>114</v>
      </c>
      <c r="AP26" s="45">
        <f t="shared" si="19"/>
        <v>81720594</v>
      </c>
      <c r="AQ26" s="45">
        <f t="shared" si="15"/>
        <v>735253.93902439019</v>
      </c>
      <c r="AR26" s="45">
        <v>82</v>
      </c>
      <c r="AS26" s="45">
        <v>60290823</v>
      </c>
      <c r="AT26" s="45">
        <f t="shared" si="16"/>
        <v>669680.34375</v>
      </c>
      <c r="AU26" s="45">
        <v>32</v>
      </c>
      <c r="AV26" s="46">
        <v>21429771</v>
      </c>
    </row>
    <row r="27" spans="1:48" ht="24" customHeight="1">
      <c r="A27" s="151"/>
      <c r="B27" s="155"/>
      <c r="C27" s="44" t="s">
        <v>92</v>
      </c>
      <c r="D27" s="45">
        <f t="shared" si="0"/>
        <v>1258581.6103896103</v>
      </c>
      <c r="E27" s="45">
        <f t="shared" si="17"/>
        <v>154</v>
      </c>
      <c r="F27" s="45">
        <f t="shared" si="17"/>
        <v>193821568</v>
      </c>
      <c r="G27" s="45">
        <f t="shared" si="6"/>
        <v>1309053.4210526317</v>
      </c>
      <c r="H27" s="45">
        <v>76</v>
      </c>
      <c r="I27" s="45">
        <v>99488060</v>
      </c>
      <c r="J27" s="45">
        <f t="shared" si="2"/>
        <v>1209403.9487179487</v>
      </c>
      <c r="K27" s="45">
        <v>78</v>
      </c>
      <c r="L27" s="46">
        <v>94333508</v>
      </c>
      <c r="M27" s="151"/>
      <c r="N27" s="155"/>
      <c r="O27" s="44" t="s">
        <v>92</v>
      </c>
      <c r="P27" s="45">
        <f t="shared" si="7"/>
        <v>19475.101662785157</v>
      </c>
      <c r="Q27" s="45">
        <v>2846.83</v>
      </c>
      <c r="R27" s="45">
        <f t="shared" si="8"/>
        <v>665307644</v>
      </c>
      <c r="S27" s="45">
        <f t="shared" si="9"/>
        <v>22245.453717754175</v>
      </c>
      <c r="T27" s="45">
        <v>1153.25</v>
      </c>
      <c r="U27" s="45">
        <v>307854834</v>
      </c>
      <c r="V27" s="81">
        <f t="shared" si="10"/>
        <v>17588.61947275397</v>
      </c>
      <c r="W27" s="45">
        <v>1693.58</v>
      </c>
      <c r="X27" s="46">
        <v>357452810</v>
      </c>
      <c r="Y27" s="151"/>
      <c r="Z27" s="155"/>
      <c r="AA27" s="44" t="s">
        <v>92</v>
      </c>
      <c r="AB27" s="45">
        <f t="shared" si="11"/>
        <v>138446.15789473685</v>
      </c>
      <c r="AC27" s="45">
        <f t="shared" si="18"/>
        <v>19</v>
      </c>
      <c r="AD27" s="45">
        <f t="shared" si="18"/>
        <v>2630477</v>
      </c>
      <c r="AE27" s="45">
        <f t="shared" si="12"/>
        <v>124089.53846153847</v>
      </c>
      <c r="AF27" s="45">
        <v>13</v>
      </c>
      <c r="AG27" s="45">
        <v>1613164</v>
      </c>
      <c r="AH27" s="45">
        <f t="shared" si="13"/>
        <v>169552.16666666666</v>
      </c>
      <c r="AI27" s="45">
        <v>6</v>
      </c>
      <c r="AJ27" s="46">
        <v>1017313</v>
      </c>
      <c r="AK27" s="151"/>
      <c r="AL27" s="155"/>
      <c r="AM27" s="44" t="s">
        <v>92</v>
      </c>
      <c r="AN27" s="45">
        <f t="shared" si="14"/>
        <v>1052155.1666666667</v>
      </c>
      <c r="AO27" s="45">
        <f t="shared" si="19"/>
        <v>6</v>
      </c>
      <c r="AP27" s="45">
        <f t="shared" si="19"/>
        <v>6312931</v>
      </c>
      <c r="AQ27" s="45">
        <f t="shared" si="15"/>
        <v>1128880.5</v>
      </c>
      <c r="AR27" s="45">
        <v>2</v>
      </c>
      <c r="AS27" s="45">
        <v>2257761</v>
      </c>
      <c r="AT27" s="45">
        <f t="shared" si="16"/>
        <v>1013792.5</v>
      </c>
      <c r="AU27" s="45">
        <v>4</v>
      </c>
      <c r="AV27" s="46">
        <v>4055170</v>
      </c>
    </row>
    <row r="28" spans="1:48" ht="24" customHeight="1">
      <c r="A28" s="152"/>
      <c r="B28" s="156"/>
      <c r="C28" s="44" t="s">
        <v>93</v>
      </c>
      <c r="D28" s="45">
        <f t="shared" si="0"/>
        <v>1353456.25</v>
      </c>
      <c r="E28" s="45">
        <f t="shared" si="17"/>
        <v>16</v>
      </c>
      <c r="F28" s="45">
        <f t="shared" si="17"/>
        <v>21655300</v>
      </c>
      <c r="G28" s="45">
        <f t="shared" si="6"/>
        <v>1530330.7777777778</v>
      </c>
      <c r="H28" s="45">
        <v>9</v>
      </c>
      <c r="I28" s="45">
        <v>13772977</v>
      </c>
      <c r="J28" s="45">
        <f t="shared" si="2"/>
        <v>1126046.142857143</v>
      </c>
      <c r="K28" s="45">
        <v>7</v>
      </c>
      <c r="L28" s="46">
        <v>7882323</v>
      </c>
      <c r="M28" s="152"/>
      <c r="N28" s="156"/>
      <c r="O28" s="44" t="s">
        <v>93</v>
      </c>
      <c r="P28" s="45">
        <f t="shared" si="7"/>
        <v>17417.288249139961</v>
      </c>
      <c r="Q28" s="45">
        <v>460.25</v>
      </c>
      <c r="R28" s="45">
        <f t="shared" si="8"/>
        <v>96195683</v>
      </c>
      <c r="S28" s="45">
        <f t="shared" si="9"/>
        <v>18866.653558052432</v>
      </c>
      <c r="T28" s="45">
        <v>222.5</v>
      </c>
      <c r="U28" s="45">
        <v>50373965</v>
      </c>
      <c r="V28" s="81">
        <f t="shared" si="10"/>
        <v>16060.889589905362</v>
      </c>
      <c r="W28" s="45">
        <v>237.75</v>
      </c>
      <c r="X28" s="46">
        <v>45821718</v>
      </c>
      <c r="Y28" s="152"/>
      <c r="Z28" s="156"/>
      <c r="AA28" s="44" t="s">
        <v>93</v>
      </c>
      <c r="AB28" s="45">
        <f t="shared" si="11"/>
        <v>7282.5</v>
      </c>
      <c r="AC28" s="45">
        <f t="shared" si="18"/>
        <v>2</v>
      </c>
      <c r="AD28" s="45">
        <f t="shared" si="18"/>
        <v>14565</v>
      </c>
      <c r="AE28" s="45">
        <f t="shared" si="12"/>
        <v>7282.5</v>
      </c>
      <c r="AF28" s="45">
        <v>2</v>
      </c>
      <c r="AG28" s="45">
        <v>14565</v>
      </c>
      <c r="AH28" s="45">
        <v>0</v>
      </c>
      <c r="AI28" s="45">
        <v>0</v>
      </c>
      <c r="AJ28" s="46">
        <v>0</v>
      </c>
      <c r="AK28" s="152"/>
      <c r="AL28" s="156"/>
      <c r="AM28" s="44" t="s">
        <v>93</v>
      </c>
      <c r="AN28" s="45">
        <f t="shared" si="14"/>
        <v>857004.33333333337</v>
      </c>
      <c r="AO28" s="45">
        <f t="shared" si="19"/>
        <v>3</v>
      </c>
      <c r="AP28" s="45">
        <f t="shared" si="19"/>
        <v>2571013</v>
      </c>
      <c r="AQ28" s="45">
        <f t="shared" si="15"/>
        <v>857004.33333333337</v>
      </c>
      <c r="AR28" s="45">
        <v>3</v>
      </c>
      <c r="AS28" s="45">
        <v>2571013</v>
      </c>
      <c r="AT28" s="45">
        <v>0</v>
      </c>
      <c r="AU28" s="45">
        <v>0</v>
      </c>
      <c r="AV28" s="46">
        <v>0</v>
      </c>
    </row>
    <row r="29" spans="1:48" ht="28.9" customHeight="1">
      <c r="A29" s="157" t="s">
        <v>182</v>
      </c>
      <c r="B29" s="161" t="s">
        <v>193</v>
      </c>
      <c r="C29" s="41" t="s">
        <v>76</v>
      </c>
      <c r="D29" s="42">
        <f t="shared" si="0"/>
        <v>1403672.6348699061</v>
      </c>
      <c r="E29" s="42">
        <f>SUM(E30:E38)</f>
        <v>84170</v>
      </c>
      <c r="F29" s="42">
        <f>SUM(F30:F38)</f>
        <v>118147125677</v>
      </c>
      <c r="G29" s="42">
        <f t="shared" si="6"/>
        <v>1416996.5765186222</v>
      </c>
      <c r="H29" s="42">
        <f>SUM(H30:H38)</f>
        <v>42127</v>
      </c>
      <c r="I29" s="42">
        <f>SUM(I30:I38)</f>
        <v>59693814779</v>
      </c>
      <c r="J29" s="42">
        <f t="shared" si="2"/>
        <v>1390322.072592346</v>
      </c>
      <c r="K29" s="42">
        <f>SUM(K30:K38)</f>
        <v>42043</v>
      </c>
      <c r="L29" s="43">
        <f>SUM(L30:L38)</f>
        <v>58453310898</v>
      </c>
      <c r="M29" s="157" t="s">
        <v>184</v>
      </c>
      <c r="N29" s="161" t="s">
        <v>193</v>
      </c>
      <c r="O29" s="41" t="s">
        <v>76</v>
      </c>
      <c r="P29" s="42">
        <f>R29/Q29/12</f>
        <v>17578.758562813648</v>
      </c>
      <c r="Q29" s="42">
        <v>1339466.75</v>
      </c>
      <c r="R29" s="42">
        <f>SUM(R30:R38)</f>
        <v>282553951214</v>
      </c>
      <c r="S29" s="42">
        <f>U29/T29/12</f>
        <v>18772.653832481508</v>
      </c>
      <c r="T29" s="42">
        <v>614791.92000000004</v>
      </c>
      <c r="U29" s="42">
        <f>SUM(U30:U38)</f>
        <v>138495310718</v>
      </c>
      <c r="V29" s="42">
        <f>X29/W29/12</f>
        <v>16565.894399837238</v>
      </c>
      <c r="W29" s="42">
        <v>724674.83</v>
      </c>
      <c r="X29" s="43">
        <f>SUM(X30:X38)</f>
        <v>144058640496</v>
      </c>
      <c r="Y29" s="157" t="s">
        <v>185</v>
      </c>
      <c r="Z29" s="161" t="s">
        <v>193</v>
      </c>
      <c r="AA29" s="41" t="s">
        <v>76</v>
      </c>
      <c r="AB29" s="42">
        <f t="shared" si="11"/>
        <v>94743.914772390053</v>
      </c>
      <c r="AC29" s="42">
        <f>SUM(AC30:AC38)</f>
        <v>16849</v>
      </c>
      <c r="AD29" s="42">
        <f>SUM(AD30:AD38)</f>
        <v>1596340220</v>
      </c>
      <c r="AE29" s="42">
        <f t="shared" si="12"/>
        <v>107419.90724341507</v>
      </c>
      <c r="AF29" s="42">
        <f>SUM(AF30:AF38)</f>
        <v>8808</v>
      </c>
      <c r="AG29" s="42">
        <f>SUM(AG30:AG38)</f>
        <v>946154543</v>
      </c>
      <c r="AH29" s="42">
        <f t="shared" si="13"/>
        <v>80858.80823280687</v>
      </c>
      <c r="AI29" s="42">
        <f>SUM(AI30:AI38)</f>
        <v>8041</v>
      </c>
      <c r="AJ29" s="43">
        <f>SUM(AJ30:AJ38)</f>
        <v>650185677</v>
      </c>
      <c r="AK29" s="157" t="s">
        <v>186</v>
      </c>
      <c r="AL29" s="161" t="s">
        <v>193</v>
      </c>
      <c r="AM29" s="41" t="s">
        <v>76</v>
      </c>
      <c r="AN29" s="42">
        <f t="shared" si="14"/>
        <v>740795.13616670109</v>
      </c>
      <c r="AO29" s="42">
        <f>SUM(AO30:AO38)</f>
        <v>4847</v>
      </c>
      <c r="AP29" s="42">
        <f>SUM(AP30:AP38)</f>
        <v>3590634025</v>
      </c>
      <c r="AQ29" s="42">
        <f t="shared" si="15"/>
        <v>770833.59371867694</v>
      </c>
      <c r="AR29" s="42">
        <f>SUM(AR30:AR38)</f>
        <v>2993</v>
      </c>
      <c r="AS29" s="42">
        <f>SUM(AS30:AS38)</f>
        <v>2307104946</v>
      </c>
      <c r="AT29" s="42">
        <f t="shared" si="16"/>
        <v>692302.63160733553</v>
      </c>
      <c r="AU29" s="42">
        <f>SUM(AU30:AU38)</f>
        <v>1854</v>
      </c>
      <c r="AV29" s="43">
        <f>SUM(AV30:AV38)</f>
        <v>1283529079</v>
      </c>
    </row>
    <row r="30" spans="1:48" ht="28.9" customHeight="1">
      <c r="A30" s="158"/>
      <c r="B30" s="162"/>
      <c r="C30" s="44" t="s">
        <v>136</v>
      </c>
      <c r="D30" s="45">
        <v>0</v>
      </c>
      <c r="E30" s="45">
        <f t="shared" ref="E30:F38" si="20">H30+K30</f>
        <v>0</v>
      </c>
      <c r="F30" s="45">
        <f t="shared" si="20"/>
        <v>0</v>
      </c>
      <c r="G30" s="45">
        <v>0</v>
      </c>
      <c r="H30" s="45">
        <v>0</v>
      </c>
      <c r="I30" s="45">
        <v>0</v>
      </c>
      <c r="J30" s="45">
        <v>0</v>
      </c>
      <c r="K30" s="45">
        <v>0</v>
      </c>
      <c r="L30" s="46">
        <v>0</v>
      </c>
      <c r="M30" s="158"/>
      <c r="N30" s="162"/>
      <c r="O30" s="44" t="s">
        <v>136</v>
      </c>
      <c r="P30" s="45">
        <v>0</v>
      </c>
      <c r="Q30" s="45">
        <v>0</v>
      </c>
      <c r="R30" s="45">
        <v>0</v>
      </c>
      <c r="S30" s="45">
        <v>0</v>
      </c>
      <c r="T30" s="45">
        <v>0</v>
      </c>
      <c r="U30" s="45">
        <v>0</v>
      </c>
      <c r="V30" s="45">
        <v>0</v>
      </c>
      <c r="W30" s="45">
        <v>0</v>
      </c>
      <c r="X30" s="46">
        <v>0</v>
      </c>
      <c r="Y30" s="158"/>
      <c r="Z30" s="162"/>
      <c r="AA30" s="44" t="s">
        <v>136</v>
      </c>
      <c r="AB30" s="45">
        <v>0</v>
      </c>
      <c r="AC30" s="45">
        <f t="shared" ref="AC30:AD38" si="21">AF30+AI30</f>
        <v>0</v>
      </c>
      <c r="AD30" s="45">
        <f t="shared" si="21"/>
        <v>0</v>
      </c>
      <c r="AE30" s="45">
        <v>0</v>
      </c>
      <c r="AF30" s="45">
        <v>0</v>
      </c>
      <c r="AG30" s="45">
        <v>0</v>
      </c>
      <c r="AH30" s="45">
        <v>0</v>
      </c>
      <c r="AI30" s="45">
        <v>0</v>
      </c>
      <c r="AJ30" s="46">
        <v>0</v>
      </c>
      <c r="AK30" s="158"/>
      <c r="AL30" s="162"/>
      <c r="AM30" s="44" t="s">
        <v>136</v>
      </c>
      <c r="AN30" s="45">
        <v>0</v>
      </c>
      <c r="AO30" s="45">
        <f t="shared" ref="AO30:AP38" si="22">AR30+AU30</f>
        <v>0</v>
      </c>
      <c r="AP30" s="45">
        <f t="shared" si="22"/>
        <v>0</v>
      </c>
      <c r="AQ30" s="45">
        <v>0</v>
      </c>
      <c r="AR30" s="45">
        <v>0</v>
      </c>
      <c r="AS30" s="45">
        <v>0</v>
      </c>
      <c r="AT30" s="45">
        <v>0</v>
      </c>
      <c r="AU30" s="45">
        <v>0</v>
      </c>
      <c r="AV30" s="46">
        <v>0</v>
      </c>
    </row>
    <row r="31" spans="1:48" ht="28.9" customHeight="1">
      <c r="A31" s="158"/>
      <c r="B31" s="162"/>
      <c r="C31" s="44" t="s">
        <v>112</v>
      </c>
      <c r="D31" s="45">
        <f t="shared" si="0"/>
        <v>1292275.3333333333</v>
      </c>
      <c r="E31" s="45">
        <f t="shared" si="20"/>
        <v>3</v>
      </c>
      <c r="F31" s="45">
        <f t="shared" si="20"/>
        <v>3876826</v>
      </c>
      <c r="G31" s="45">
        <v>0</v>
      </c>
      <c r="H31" s="45">
        <v>0</v>
      </c>
      <c r="I31" s="45">
        <v>0</v>
      </c>
      <c r="J31" s="45">
        <f t="shared" si="2"/>
        <v>1292275.3333333333</v>
      </c>
      <c r="K31" s="45">
        <v>3</v>
      </c>
      <c r="L31" s="46">
        <v>3876826</v>
      </c>
      <c r="M31" s="158"/>
      <c r="N31" s="162"/>
      <c r="O31" s="44" t="s">
        <v>112</v>
      </c>
      <c r="P31" s="45">
        <v>0</v>
      </c>
      <c r="Q31" s="45">
        <v>0</v>
      </c>
      <c r="R31" s="45">
        <v>0</v>
      </c>
      <c r="S31" s="45">
        <v>0</v>
      </c>
      <c r="T31" s="45">
        <v>0</v>
      </c>
      <c r="U31" s="45">
        <v>0</v>
      </c>
      <c r="V31" s="45">
        <v>0</v>
      </c>
      <c r="W31" s="45">
        <v>0</v>
      </c>
      <c r="X31" s="46">
        <v>0</v>
      </c>
      <c r="Y31" s="158"/>
      <c r="Z31" s="162"/>
      <c r="AA31" s="44" t="s">
        <v>112</v>
      </c>
      <c r="AB31" s="45">
        <v>0</v>
      </c>
      <c r="AC31" s="45">
        <f t="shared" si="21"/>
        <v>0</v>
      </c>
      <c r="AD31" s="45">
        <f t="shared" si="21"/>
        <v>0</v>
      </c>
      <c r="AE31" s="45">
        <v>0</v>
      </c>
      <c r="AF31" s="45">
        <v>0</v>
      </c>
      <c r="AG31" s="45">
        <v>0</v>
      </c>
      <c r="AH31" s="45">
        <v>0</v>
      </c>
      <c r="AI31" s="45">
        <v>0</v>
      </c>
      <c r="AJ31" s="46">
        <v>0</v>
      </c>
      <c r="AK31" s="158"/>
      <c r="AL31" s="162"/>
      <c r="AM31" s="44" t="s">
        <v>112</v>
      </c>
      <c r="AN31" s="45">
        <v>0</v>
      </c>
      <c r="AO31" s="45">
        <f t="shared" si="22"/>
        <v>0</v>
      </c>
      <c r="AP31" s="45">
        <f t="shared" si="22"/>
        <v>0</v>
      </c>
      <c r="AQ31" s="45">
        <v>0</v>
      </c>
      <c r="AR31" s="45">
        <v>0</v>
      </c>
      <c r="AS31" s="45">
        <v>0</v>
      </c>
      <c r="AT31" s="45">
        <v>0</v>
      </c>
      <c r="AU31" s="45">
        <v>0</v>
      </c>
      <c r="AV31" s="46">
        <v>0</v>
      </c>
    </row>
    <row r="32" spans="1:48" ht="28.9" customHeight="1">
      <c r="A32" s="158"/>
      <c r="B32" s="162"/>
      <c r="C32" s="44" t="s">
        <v>113</v>
      </c>
      <c r="D32" s="45">
        <f t="shared" si="0"/>
        <v>1393103.323943662</v>
      </c>
      <c r="E32" s="45">
        <f t="shared" si="20"/>
        <v>568</v>
      </c>
      <c r="F32" s="45">
        <f t="shared" si="20"/>
        <v>791282688</v>
      </c>
      <c r="G32" s="45">
        <f t="shared" si="6"/>
        <v>1363675.3989071038</v>
      </c>
      <c r="H32" s="45">
        <v>183</v>
      </c>
      <c r="I32" s="45">
        <v>249552598</v>
      </c>
      <c r="J32" s="45">
        <f t="shared" si="2"/>
        <v>1407091.142857143</v>
      </c>
      <c r="K32" s="45">
        <v>385</v>
      </c>
      <c r="L32" s="46">
        <v>541730090</v>
      </c>
      <c r="M32" s="158"/>
      <c r="N32" s="162"/>
      <c r="O32" s="44" t="s">
        <v>113</v>
      </c>
      <c r="P32" s="45">
        <v>0</v>
      </c>
      <c r="Q32" s="45">
        <v>0</v>
      </c>
      <c r="R32" s="45">
        <v>0</v>
      </c>
      <c r="S32" s="45">
        <v>0</v>
      </c>
      <c r="T32" s="45">
        <v>0</v>
      </c>
      <c r="U32" s="45">
        <v>0</v>
      </c>
      <c r="V32" s="45">
        <v>0</v>
      </c>
      <c r="W32" s="45">
        <v>0</v>
      </c>
      <c r="X32" s="46">
        <v>0</v>
      </c>
      <c r="Y32" s="158"/>
      <c r="Z32" s="162"/>
      <c r="AA32" s="44" t="s">
        <v>113</v>
      </c>
      <c r="AB32" s="45">
        <v>0</v>
      </c>
      <c r="AC32" s="45">
        <f t="shared" si="21"/>
        <v>0</v>
      </c>
      <c r="AD32" s="45">
        <f t="shared" si="21"/>
        <v>0</v>
      </c>
      <c r="AE32" s="45">
        <v>0</v>
      </c>
      <c r="AF32" s="45">
        <v>0</v>
      </c>
      <c r="AG32" s="45">
        <v>0</v>
      </c>
      <c r="AH32" s="45">
        <v>0</v>
      </c>
      <c r="AI32" s="45">
        <v>0</v>
      </c>
      <c r="AJ32" s="46">
        <v>0</v>
      </c>
      <c r="AK32" s="158"/>
      <c r="AL32" s="162"/>
      <c r="AM32" s="44" t="s">
        <v>113</v>
      </c>
      <c r="AN32" s="45">
        <v>0</v>
      </c>
      <c r="AO32" s="45">
        <f t="shared" si="22"/>
        <v>0</v>
      </c>
      <c r="AP32" s="45">
        <f t="shared" si="22"/>
        <v>0</v>
      </c>
      <c r="AQ32" s="45">
        <v>0</v>
      </c>
      <c r="AR32" s="45">
        <v>0</v>
      </c>
      <c r="AS32" s="45">
        <v>0</v>
      </c>
      <c r="AT32" s="45">
        <v>0</v>
      </c>
      <c r="AU32" s="45">
        <v>0</v>
      </c>
      <c r="AV32" s="46">
        <v>0</v>
      </c>
    </row>
    <row r="33" spans="1:48" ht="28.9" customHeight="1">
      <c r="A33" s="158"/>
      <c r="B33" s="162"/>
      <c r="C33" s="44" t="s">
        <v>114</v>
      </c>
      <c r="D33" s="45">
        <f t="shared" si="0"/>
        <v>1649216.0987294866</v>
      </c>
      <c r="E33" s="45">
        <f t="shared" si="20"/>
        <v>3778</v>
      </c>
      <c r="F33" s="45">
        <f t="shared" si="20"/>
        <v>6230738421</v>
      </c>
      <c r="G33" s="45">
        <f t="shared" si="6"/>
        <v>1623883.2600619195</v>
      </c>
      <c r="H33" s="45">
        <v>1615</v>
      </c>
      <c r="I33" s="45">
        <v>2622571465</v>
      </c>
      <c r="J33" s="45">
        <f t="shared" si="2"/>
        <v>1668130.8164586222</v>
      </c>
      <c r="K33" s="45">
        <v>2163</v>
      </c>
      <c r="L33" s="46">
        <v>3608166956</v>
      </c>
      <c r="M33" s="158"/>
      <c r="N33" s="162"/>
      <c r="O33" s="44" t="s">
        <v>114</v>
      </c>
      <c r="P33" s="45">
        <v>0</v>
      </c>
      <c r="Q33" s="45">
        <v>0</v>
      </c>
      <c r="R33" s="45">
        <v>0</v>
      </c>
      <c r="S33" s="45">
        <v>0</v>
      </c>
      <c r="T33" s="45">
        <v>0</v>
      </c>
      <c r="U33" s="45">
        <v>0</v>
      </c>
      <c r="V33" s="45">
        <v>0</v>
      </c>
      <c r="W33" s="45">
        <v>0</v>
      </c>
      <c r="X33" s="46">
        <v>0</v>
      </c>
      <c r="Y33" s="158"/>
      <c r="Z33" s="162"/>
      <c r="AA33" s="44" t="s">
        <v>114</v>
      </c>
      <c r="AB33" s="45">
        <v>0</v>
      </c>
      <c r="AC33" s="45">
        <f t="shared" si="21"/>
        <v>0</v>
      </c>
      <c r="AD33" s="45">
        <f t="shared" si="21"/>
        <v>0</v>
      </c>
      <c r="AE33" s="45">
        <v>0</v>
      </c>
      <c r="AF33" s="45">
        <v>0</v>
      </c>
      <c r="AG33" s="45">
        <v>0</v>
      </c>
      <c r="AH33" s="45">
        <v>0</v>
      </c>
      <c r="AI33" s="45">
        <v>0</v>
      </c>
      <c r="AJ33" s="46">
        <v>0</v>
      </c>
      <c r="AK33" s="158"/>
      <c r="AL33" s="162"/>
      <c r="AM33" s="44" t="s">
        <v>114</v>
      </c>
      <c r="AN33" s="45">
        <v>0</v>
      </c>
      <c r="AO33" s="45">
        <f t="shared" si="22"/>
        <v>0</v>
      </c>
      <c r="AP33" s="45">
        <f t="shared" si="22"/>
        <v>0</v>
      </c>
      <c r="AQ33" s="45">
        <v>0</v>
      </c>
      <c r="AR33" s="45">
        <v>0</v>
      </c>
      <c r="AS33" s="45">
        <v>0</v>
      </c>
      <c r="AT33" s="45">
        <v>0</v>
      </c>
      <c r="AU33" s="45">
        <v>0</v>
      </c>
      <c r="AV33" s="46">
        <v>0</v>
      </c>
    </row>
    <row r="34" spans="1:48" ht="28.9" customHeight="1">
      <c r="A34" s="158"/>
      <c r="B34" s="162"/>
      <c r="C34" s="44" t="s">
        <v>115</v>
      </c>
      <c r="D34" s="45">
        <f t="shared" si="0"/>
        <v>1592875.4909664299</v>
      </c>
      <c r="E34" s="45">
        <f t="shared" si="20"/>
        <v>33929</v>
      </c>
      <c r="F34" s="45">
        <f t="shared" si="20"/>
        <v>54044672533</v>
      </c>
      <c r="G34" s="45">
        <f t="shared" si="6"/>
        <v>1607077.4816894219</v>
      </c>
      <c r="H34" s="45">
        <v>15674</v>
      </c>
      <c r="I34" s="45">
        <v>25189332448</v>
      </c>
      <c r="J34" s="45">
        <f t="shared" si="2"/>
        <v>1580681.46179129</v>
      </c>
      <c r="K34" s="45">
        <v>18255</v>
      </c>
      <c r="L34" s="46">
        <v>28855340085</v>
      </c>
      <c r="M34" s="158"/>
      <c r="N34" s="162"/>
      <c r="O34" s="44" t="s">
        <v>115</v>
      </c>
      <c r="P34" s="45">
        <v>0</v>
      </c>
      <c r="Q34" s="45">
        <v>0</v>
      </c>
      <c r="R34" s="45">
        <v>0</v>
      </c>
      <c r="S34" s="45">
        <v>0</v>
      </c>
      <c r="T34" s="45">
        <v>0</v>
      </c>
      <c r="U34" s="45">
        <v>0</v>
      </c>
      <c r="V34" s="45">
        <v>0</v>
      </c>
      <c r="W34" s="45">
        <v>0</v>
      </c>
      <c r="X34" s="46">
        <v>0</v>
      </c>
      <c r="Y34" s="158"/>
      <c r="Z34" s="162"/>
      <c r="AA34" s="44" t="s">
        <v>115</v>
      </c>
      <c r="AB34" s="45">
        <v>0</v>
      </c>
      <c r="AC34" s="45">
        <f t="shared" si="21"/>
        <v>0</v>
      </c>
      <c r="AD34" s="45">
        <f t="shared" si="21"/>
        <v>0</v>
      </c>
      <c r="AE34" s="45">
        <v>0</v>
      </c>
      <c r="AF34" s="45">
        <v>0</v>
      </c>
      <c r="AG34" s="45">
        <v>0</v>
      </c>
      <c r="AH34" s="45">
        <v>0</v>
      </c>
      <c r="AI34" s="45">
        <v>0</v>
      </c>
      <c r="AJ34" s="46">
        <v>0</v>
      </c>
      <c r="AK34" s="158"/>
      <c r="AL34" s="162"/>
      <c r="AM34" s="44" t="s">
        <v>115</v>
      </c>
      <c r="AN34" s="45">
        <v>0</v>
      </c>
      <c r="AO34" s="45">
        <f t="shared" si="22"/>
        <v>0</v>
      </c>
      <c r="AP34" s="45">
        <f t="shared" si="22"/>
        <v>0</v>
      </c>
      <c r="AQ34" s="45">
        <v>0</v>
      </c>
      <c r="AR34" s="45">
        <v>0</v>
      </c>
      <c r="AS34" s="45">
        <v>0</v>
      </c>
      <c r="AT34" s="45">
        <v>0</v>
      </c>
      <c r="AU34" s="45">
        <v>0</v>
      </c>
      <c r="AV34" s="46">
        <v>0</v>
      </c>
    </row>
    <row r="35" spans="1:48" ht="28.9" customHeight="1">
      <c r="A35" s="158"/>
      <c r="B35" s="162"/>
      <c r="C35" s="44" t="s">
        <v>116</v>
      </c>
      <c r="D35" s="45">
        <f t="shared" si="0"/>
        <v>1375300.7537178092</v>
      </c>
      <c r="E35" s="45">
        <f t="shared" si="20"/>
        <v>30327</v>
      </c>
      <c r="F35" s="45">
        <f t="shared" si="20"/>
        <v>41708745958</v>
      </c>
      <c r="G35" s="45">
        <f t="shared" si="6"/>
        <v>1457368.2575541434</v>
      </c>
      <c r="H35" s="45">
        <v>15422</v>
      </c>
      <c r="I35" s="45">
        <v>22475533268</v>
      </c>
      <c r="J35" s="45">
        <f t="shared" si="2"/>
        <v>1290386.6279771889</v>
      </c>
      <c r="K35" s="45">
        <v>14905</v>
      </c>
      <c r="L35" s="46">
        <v>19233212690</v>
      </c>
      <c r="M35" s="158"/>
      <c r="N35" s="162"/>
      <c r="O35" s="44" t="s">
        <v>116</v>
      </c>
      <c r="P35" s="45">
        <f t="shared" ref="P35:P38" si="23">R35/Q35/12</f>
        <v>16848.25408163782</v>
      </c>
      <c r="Q35" s="45">
        <v>40171.17</v>
      </c>
      <c r="R35" s="45">
        <f t="shared" ref="R35:R38" si="24">U35+X35</f>
        <v>8121768947</v>
      </c>
      <c r="S35" s="45">
        <f t="shared" ref="S35:S38" si="25">U35/T35/12</f>
        <v>16806.038768603834</v>
      </c>
      <c r="T35" s="45">
        <v>16523.25</v>
      </c>
      <c r="U35" s="45">
        <v>3332284561</v>
      </c>
      <c r="V35" s="45">
        <f t="shared" ref="V35:V38" si="26">X35/W35/12</f>
        <v>16877.750721134602</v>
      </c>
      <c r="W35" s="45">
        <v>23647.919999999998</v>
      </c>
      <c r="X35" s="46">
        <v>4789484386</v>
      </c>
      <c r="Y35" s="158"/>
      <c r="Z35" s="162"/>
      <c r="AA35" s="44" t="s">
        <v>116</v>
      </c>
      <c r="AB35" s="45">
        <v>0</v>
      </c>
      <c r="AC35" s="45">
        <f t="shared" si="21"/>
        <v>0</v>
      </c>
      <c r="AD35" s="45">
        <f t="shared" si="21"/>
        <v>0</v>
      </c>
      <c r="AE35" s="45">
        <v>0</v>
      </c>
      <c r="AF35" s="45">
        <v>0</v>
      </c>
      <c r="AG35" s="45">
        <v>0</v>
      </c>
      <c r="AH35" s="45">
        <v>0</v>
      </c>
      <c r="AI35" s="45">
        <v>0</v>
      </c>
      <c r="AJ35" s="46">
        <v>0</v>
      </c>
      <c r="AK35" s="158"/>
      <c r="AL35" s="162"/>
      <c r="AM35" s="44" t="s">
        <v>116</v>
      </c>
      <c r="AN35" s="45">
        <f t="shared" si="14"/>
        <v>1455744.1615384615</v>
      </c>
      <c r="AO35" s="45">
        <f>AR35+AU35</f>
        <v>130</v>
      </c>
      <c r="AP35" s="45">
        <f t="shared" si="22"/>
        <v>189246741</v>
      </c>
      <c r="AQ35" s="45">
        <f t="shared" si="15"/>
        <v>1434313.034883721</v>
      </c>
      <c r="AR35" s="45">
        <v>86</v>
      </c>
      <c r="AS35" s="45">
        <v>123350921</v>
      </c>
      <c r="AT35" s="45">
        <f t="shared" si="16"/>
        <v>1497632.2727272727</v>
      </c>
      <c r="AU35" s="45">
        <v>44</v>
      </c>
      <c r="AV35" s="46">
        <v>65895820</v>
      </c>
    </row>
    <row r="36" spans="1:48" ht="28.9" customHeight="1">
      <c r="A36" s="158"/>
      <c r="B36" s="162"/>
      <c r="C36" s="44" t="s">
        <v>117</v>
      </c>
      <c r="D36" s="45">
        <f t="shared" si="0"/>
        <v>1059143.1135479307</v>
      </c>
      <c r="E36" s="45">
        <f t="shared" si="20"/>
        <v>11308</v>
      </c>
      <c r="F36" s="45">
        <f t="shared" si="20"/>
        <v>11976790328</v>
      </c>
      <c r="G36" s="45">
        <f t="shared" si="6"/>
        <v>1068412.2693798449</v>
      </c>
      <c r="H36" s="45">
        <v>6708</v>
      </c>
      <c r="I36" s="45">
        <v>7166909503</v>
      </c>
      <c r="J36" s="45">
        <f t="shared" si="2"/>
        <v>1045626.2663043478</v>
      </c>
      <c r="K36" s="45">
        <v>4600</v>
      </c>
      <c r="L36" s="46">
        <v>4809880825</v>
      </c>
      <c r="M36" s="158"/>
      <c r="N36" s="162"/>
      <c r="O36" s="44" t="s">
        <v>117</v>
      </c>
      <c r="P36" s="45">
        <f t="shared" si="23"/>
        <v>17106.850240532985</v>
      </c>
      <c r="Q36" s="45">
        <v>494535.08</v>
      </c>
      <c r="R36" s="45">
        <f t="shared" si="24"/>
        <v>101519250627</v>
      </c>
      <c r="S36" s="45">
        <f t="shared" si="25"/>
        <v>17849.622227302523</v>
      </c>
      <c r="T36" s="45">
        <v>219803.25</v>
      </c>
      <c r="U36" s="45">
        <v>47080859722</v>
      </c>
      <c r="V36" s="45">
        <f t="shared" si="26"/>
        <v>16512.584564433859</v>
      </c>
      <c r="W36" s="45">
        <v>274731.83</v>
      </c>
      <c r="X36" s="46">
        <v>54438390905</v>
      </c>
      <c r="Y36" s="158"/>
      <c r="Z36" s="162"/>
      <c r="AA36" s="44" t="s">
        <v>117</v>
      </c>
      <c r="AB36" s="45">
        <f t="shared" si="11"/>
        <v>111868.85082317457</v>
      </c>
      <c r="AC36" s="45">
        <f t="shared" si="21"/>
        <v>7957</v>
      </c>
      <c r="AD36" s="45">
        <f t="shared" si="21"/>
        <v>890140446</v>
      </c>
      <c r="AE36" s="45">
        <f t="shared" si="12"/>
        <v>124825.4190023753</v>
      </c>
      <c r="AF36" s="45">
        <v>4210</v>
      </c>
      <c r="AG36" s="45">
        <v>525515014</v>
      </c>
      <c r="AH36" s="45">
        <f t="shared" si="13"/>
        <v>97311.297571390445</v>
      </c>
      <c r="AI36" s="45">
        <v>3747</v>
      </c>
      <c r="AJ36" s="46">
        <v>364625432</v>
      </c>
      <c r="AK36" s="158"/>
      <c r="AL36" s="162"/>
      <c r="AM36" s="44" t="s">
        <v>117</v>
      </c>
      <c r="AN36" s="45">
        <f t="shared" si="14"/>
        <v>947269.27309236943</v>
      </c>
      <c r="AO36" s="45">
        <f t="shared" si="22"/>
        <v>1992</v>
      </c>
      <c r="AP36" s="45">
        <f t="shared" si="22"/>
        <v>1886960392</v>
      </c>
      <c r="AQ36" s="45">
        <f t="shared" si="15"/>
        <v>976604.6658615137</v>
      </c>
      <c r="AR36" s="45">
        <v>1242</v>
      </c>
      <c r="AS36" s="45">
        <v>1212942995</v>
      </c>
      <c r="AT36" s="45">
        <f t="shared" si="16"/>
        <v>898689.86266666662</v>
      </c>
      <c r="AU36" s="45">
        <v>750</v>
      </c>
      <c r="AV36" s="46">
        <v>674017397</v>
      </c>
    </row>
    <row r="37" spans="1:48" ht="28.9" customHeight="1">
      <c r="A37" s="159"/>
      <c r="B37" s="163"/>
      <c r="C37" s="44" t="s">
        <v>118</v>
      </c>
      <c r="D37" s="45">
        <f t="shared" si="0"/>
        <v>804331.29032258061</v>
      </c>
      <c r="E37" s="45">
        <f t="shared" si="20"/>
        <v>3968</v>
      </c>
      <c r="F37" s="45">
        <f t="shared" si="20"/>
        <v>3191586560</v>
      </c>
      <c r="G37" s="45">
        <f t="shared" si="6"/>
        <v>791943.90569243836</v>
      </c>
      <c r="H37" s="45">
        <v>2354</v>
      </c>
      <c r="I37" s="45">
        <v>1864235954</v>
      </c>
      <c r="J37" s="45">
        <f t="shared" si="2"/>
        <v>822398.14498141268</v>
      </c>
      <c r="K37" s="45">
        <v>1614</v>
      </c>
      <c r="L37" s="46">
        <v>1327350606</v>
      </c>
      <c r="M37" s="159"/>
      <c r="N37" s="163"/>
      <c r="O37" s="44" t="s">
        <v>118</v>
      </c>
      <c r="P37" s="45">
        <f t="shared" si="23"/>
        <v>18313.883217185507</v>
      </c>
      <c r="Q37" s="45">
        <v>545226.17000000004</v>
      </c>
      <c r="R37" s="45">
        <f t="shared" si="24"/>
        <v>119822500852</v>
      </c>
      <c r="S37" s="45">
        <f t="shared" si="25"/>
        <v>19846.546872507402</v>
      </c>
      <c r="T37" s="45">
        <v>257011</v>
      </c>
      <c r="U37" s="45">
        <v>61209370299</v>
      </c>
      <c r="V37" s="45">
        <f t="shared" si="26"/>
        <v>16947.156341851587</v>
      </c>
      <c r="W37" s="45">
        <v>288215.17</v>
      </c>
      <c r="X37" s="46">
        <v>58613130553</v>
      </c>
      <c r="Y37" s="159"/>
      <c r="Z37" s="163"/>
      <c r="AA37" s="44" t="s">
        <v>118</v>
      </c>
      <c r="AB37" s="45">
        <f t="shared" si="11"/>
        <v>83891.922095366011</v>
      </c>
      <c r="AC37" s="45">
        <f t="shared" si="21"/>
        <v>7445</v>
      </c>
      <c r="AD37" s="45">
        <f t="shared" si="21"/>
        <v>624575360</v>
      </c>
      <c r="AE37" s="45">
        <f t="shared" si="12"/>
        <v>95909.259640102828</v>
      </c>
      <c r="AF37" s="45">
        <v>3890</v>
      </c>
      <c r="AG37" s="45">
        <v>373087020</v>
      </c>
      <c r="AH37" s="45">
        <f t="shared" si="13"/>
        <v>70742.149085794648</v>
      </c>
      <c r="AI37" s="45">
        <v>3555</v>
      </c>
      <c r="AJ37" s="46">
        <v>251488340</v>
      </c>
      <c r="AK37" s="159"/>
      <c r="AL37" s="163"/>
      <c r="AM37" s="44" t="s">
        <v>118</v>
      </c>
      <c r="AN37" s="45">
        <f t="shared" si="14"/>
        <v>611730.32312338217</v>
      </c>
      <c r="AO37" s="45">
        <f t="shared" si="22"/>
        <v>2318</v>
      </c>
      <c r="AP37" s="45">
        <f t="shared" si="22"/>
        <v>1417990889</v>
      </c>
      <c r="AQ37" s="45">
        <f t="shared" si="15"/>
        <v>640268.09587123862</v>
      </c>
      <c r="AR37" s="45">
        <v>1429</v>
      </c>
      <c r="AS37" s="45">
        <v>914943109</v>
      </c>
      <c r="AT37" s="45">
        <f t="shared" si="16"/>
        <v>565858.02024746907</v>
      </c>
      <c r="AU37" s="45">
        <v>889</v>
      </c>
      <c r="AV37" s="46">
        <v>503047780</v>
      </c>
    </row>
    <row r="38" spans="1:48" ht="28.9" customHeight="1" thickBot="1">
      <c r="A38" s="160"/>
      <c r="B38" s="164"/>
      <c r="C38" s="47" t="s">
        <v>194</v>
      </c>
      <c r="D38" s="48">
        <f t="shared" si="0"/>
        <v>690077.38062283734</v>
      </c>
      <c r="E38" s="48">
        <f t="shared" si="20"/>
        <v>289</v>
      </c>
      <c r="F38" s="48">
        <f t="shared" si="20"/>
        <v>199432363</v>
      </c>
      <c r="G38" s="48">
        <f t="shared" si="6"/>
        <v>734968.0877192982</v>
      </c>
      <c r="H38" s="48">
        <v>171</v>
      </c>
      <c r="I38" s="48">
        <v>125679543</v>
      </c>
      <c r="J38" s="48">
        <f t="shared" si="2"/>
        <v>625023.89830508479</v>
      </c>
      <c r="K38" s="48">
        <v>118</v>
      </c>
      <c r="L38" s="49">
        <v>73752820</v>
      </c>
      <c r="M38" s="160"/>
      <c r="N38" s="164"/>
      <c r="O38" s="47" t="s">
        <v>194</v>
      </c>
      <c r="P38" s="48">
        <f t="shared" si="23"/>
        <v>17046.694343672079</v>
      </c>
      <c r="Q38" s="48">
        <v>259534.34</v>
      </c>
      <c r="R38" s="48">
        <f t="shared" si="24"/>
        <v>53090430788</v>
      </c>
      <c r="S38" s="48">
        <f t="shared" si="25"/>
        <v>18438.190046932832</v>
      </c>
      <c r="T38" s="48">
        <v>121454.42</v>
      </c>
      <c r="U38" s="48">
        <v>26872796136</v>
      </c>
      <c r="V38" s="48">
        <f t="shared" si="26"/>
        <v>15822.742697809308</v>
      </c>
      <c r="W38" s="48">
        <v>138079.91</v>
      </c>
      <c r="X38" s="49">
        <v>26217634652</v>
      </c>
      <c r="Y38" s="160"/>
      <c r="Z38" s="164"/>
      <c r="AA38" s="47" t="s">
        <v>194</v>
      </c>
      <c r="AB38" s="48">
        <f t="shared" si="11"/>
        <v>56409.40843123704</v>
      </c>
      <c r="AC38" s="48">
        <f t="shared" si="21"/>
        <v>1447</v>
      </c>
      <c r="AD38" s="48">
        <f t="shared" si="21"/>
        <v>81624414</v>
      </c>
      <c r="AE38" s="48">
        <f t="shared" si="12"/>
        <v>67164.560734463274</v>
      </c>
      <c r="AF38" s="48">
        <v>708</v>
      </c>
      <c r="AG38" s="48">
        <v>47552509</v>
      </c>
      <c r="AH38" s="48">
        <f t="shared" si="13"/>
        <v>46105.419485791608</v>
      </c>
      <c r="AI38" s="48">
        <v>739</v>
      </c>
      <c r="AJ38" s="49">
        <v>34071905</v>
      </c>
      <c r="AK38" s="160"/>
      <c r="AL38" s="164"/>
      <c r="AM38" s="47" t="s">
        <v>194</v>
      </c>
      <c r="AN38" s="48">
        <f t="shared" si="14"/>
        <v>236943.49631449633</v>
      </c>
      <c r="AO38" s="48">
        <f t="shared" si="22"/>
        <v>407</v>
      </c>
      <c r="AP38" s="48">
        <f t="shared" si="22"/>
        <v>96436003</v>
      </c>
      <c r="AQ38" s="48">
        <f t="shared" si="15"/>
        <v>236728.47881355931</v>
      </c>
      <c r="AR38" s="48">
        <v>236</v>
      </c>
      <c r="AS38" s="48">
        <v>55867921</v>
      </c>
      <c r="AT38" s="48">
        <f t="shared" si="16"/>
        <v>237240.24561403508</v>
      </c>
      <c r="AU38" s="48">
        <v>171</v>
      </c>
      <c r="AV38" s="49">
        <v>40568082</v>
      </c>
    </row>
    <row r="39" spans="1:48" s="77" customFormat="1" ht="190.15" customHeight="1">
      <c r="A39" s="132" t="s">
        <v>129</v>
      </c>
      <c r="B39" s="132"/>
      <c r="C39" s="132"/>
      <c r="D39" s="132"/>
      <c r="E39" s="132"/>
      <c r="F39" s="132"/>
      <c r="G39" s="132"/>
      <c r="H39" s="132"/>
      <c r="I39" s="132"/>
      <c r="J39" s="132"/>
      <c r="K39" s="132"/>
      <c r="L39" s="132"/>
      <c r="M39" s="132" t="s">
        <v>196</v>
      </c>
      <c r="N39" s="132"/>
      <c r="O39" s="132"/>
      <c r="P39" s="132"/>
      <c r="Q39" s="132"/>
      <c r="R39" s="132"/>
      <c r="S39" s="132"/>
      <c r="T39" s="132"/>
      <c r="U39" s="132"/>
      <c r="V39" s="132"/>
      <c r="W39" s="132"/>
      <c r="X39" s="132"/>
      <c r="Y39" s="132" t="s">
        <v>198</v>
      </c>
      <c r="Z39" s="132"/>
      <c r="AA39" s="132"/>
      <c r="AB39" s="132"/>
      <c r="AC39" s="132"/>
      <c r="AD39" s="132"/>
      <c r="AE39" s="132"/>
      <c r="AF39" s="132"/>
      <c r="AG39" s="132"/>
      <c r="AH39" s="132"/>
      <c r="AI39" s="132"/>
      <c r="AJ39" s="132"/>
      <c r="AK39" s="132" t="s">
        <v>126</v>
      </c>
      <c r="AL39" s="132"/>
      <c r="AM39" s="132"/>
      <c r="AN39" s="132"/>
      <c r="AO39" s="132"/>
      <c r="AP39" s="132"/>
      <c r="AQ39" s="132"/>
      <c r="AR39" s="132"/>
      <c r="AS39" s="132"/>
      <c r="AT39" s="132"/>
      <c r="AU39" s="132"/>
      <c r="AV39" s="132"/>
    </row>
  </sheetData>
  <mergeCells count="48">
    <mergeCell ref="AN4:AP4"/>
    <mergeCell ref="Y3:Y5"/>
    <mergeCell ref="AB3:AJ3"/>
    <mergeCell ref="AK3:AK5"/>
    <mergeCell ref="AL3:AM5"/>
    <mergeCell ref="AQ4:AS4"/>
    <mergeCell ref="A1:L1"/>
    <mergeCell ref="M1:X1"/>
    <mergeCell ref="Y1:AJ1"/>
    <mergeCell ref="AK1:AV1"/>
    <mergeCell ref="A3:A5"/>
    <mergeCell ref="B3:C5"/>
    <mergeCell ref="D3:L3"/>
    <mergeCell ref="M3:M5"/>
    <mergeCell ref="N3:O5"/>
    <mergeCell ref="P3:X3"/>
    <mergeCell ref="AN3:AV3"/>
    <mergeCell ref="AB4:AD4"/>
    <mergeCell ref="AT4:AV4"/>
    <mergeCell ref="AE4:AG4"/>
    <mergeCell ref="AH4:AJ4"/>
    <mergeCell ref="A6:A28"/>
    <mergeCell ref="B6:B28"/>
    <mergeCell ref="M6:M28"/>
    <mergeCell ref="N6:N28"/>
    <mergeCell ref="Y6:Y28"/>
    <mergeCell ref="Z6:Z28"/>
    <mergeCell ref="AK6:AK28"/>
    <mergeCell ref="AL6:AL28"/>
    <mergeCell ref="D4:F4"/>
    <mergeCell ref="G4:I4"/>
    <mergeCell ref="J4:L4"/>
    <mergeCell ref="P4:R4"/>
    <mergeCell ref="S4:U4"/>
    <mergeCell ref="V4:X4"/>
    <mergeCell ref="Z3:AA5"/>
    <mergeCell ref="AK29:AK38"/>
    <mergeCell ref="AL29:AL38"/>
    <mergeCell ref="A39:L39"/>
    <mergeCell ref="M39:X39"/>
    <mergeCell ref="Y39:AJ39"/>
    <mergeCell ref="AK39:AV39"/>
    <mergeCell ref="A29:A38"/>
    <mergeCell ref="B29:B38"/>
    <mergeCell ref="M29:M38"/>
    <mergeCell ref="N29:N38"/>
    <mergeCell ref="Y29:Y38"/>
    <mergeCell ref="Z29:Z38"/>
  </mergeCells>
  <phoneticPr fontId="14" type="noConversion"/>
  <printOptions horizontalCentered="1"/>
  <pageMargins left="0.15748031496062992" right="0.15748031496062992" top="0.59055118110236227" bottom="0.59055118110236227" header="0.51181102362204722" footer="0.31496062992125984"/>
  <pageSetup paperSize="9" orientation="portrait" r:id="rId1"/>
  <headerFooter alignWithMargins="0"/>
  <rowBreaks count="1" manualBreakCount="1">
    <brk id="28" max="16383" man="1"/>
  </rowBreaks>
  <colBreaks count="3" manualBreakCount="3">
    <brk id="24" max="1048575" man="1"/>
    <brk id="36" max="1048575" man="1"/>
    <brk id="12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V39"/>
  <sheetViews>
    <sheetView view="pageBreakPreview" zoomScale="80" zoomScaleNormal="90" zoomScaleSheetLayoutView="80" workbookViewId="0">
      <selection activeCell="A2" sqref="A2"/>
    </sheetView>
  </sheetViews>
  <sheetFormatPr defaultColWidth="9" defaultRowHeight="16.5"/>
  <cols>
    <col min="1" max="1" width="5.625" style="54" customWidth="1"/>
    <col min="2" max="2" width="3.5" style="54" customWidth="1"/>
    <col min="3" max="3" width="9.5" style="55" customWidth="1"/>
    <col min="4" max="4" width="8.25" style="53" customWidth="1"/>
    <col min="5" max="5" width="6.375" style="53" customWidth="1"/>
    <col min="6" max="6" width="12.75" style="53" customWidth="1"/>
    <col min="7" max="7" width="8.25" style="53" customWidth="1"/>
    <col min="8" max="8" width="6.25" style="53" customWidth="1"/>
    <col min="9" max="9" width="12" style="53" customWidth="1"/>
    <col min="10" max="10" width="8.25" style="53" customWidth="1"/>
    <col min="11" max="11" width="6.25" style="53" customWidth="1"/>
    <col min="12" max="12" width="12" style="53" customWidth="1"/>
    <col min="13" max="13" width="5.625" style="53" customWidth="1"/>
    <col min="14" max="14" width="3.5" style="53" customWidth="1"/>
    <col min="15" max="15" width="9.375" style="56" customWidth="1"/>
    <col min="16" max="16" width="6.75" style="53" customWidth="1"/>
    <col min="17" max="17" width="8" style="53" customWidth="1"/>
    <col min="18" max="18" width="12.5" style="53" customWidth="1"/>
    <col min="19" max="19" width="6.75" style="53" customWidth="1"/>
    <col min="20" max="20" width="7.375" style="53" customWidth="1"/>
    <col min="21" max="21" width="12.5" style="53" customWidth="1"/>
    <col min="22" max="22" width="6.75" style="53" customWidth="1"/>
    <col min="23" max="23" width="7.375" style="53" customWidth="1"/>
    <col min="24" max="24" width="12.5" style="53" customWidth="1"/>
    <col min="25" max="25" width="6.625" style="53" customWidth="1"/>
    <col min="26" max="26" width="4.625" style="53" customWidth="1"/>
    <col min="27" max="27" width="9.375" style="56" customWidth="1"/>
    <col min="28" max="28" width="7.5" style="53" customWidth="1"/>
    <col min="29" max="29" width="7.25" style="53" customWidth="1"/>
    <col min="30" max="30" width="10.75" style="53" customWidth="1"/>
    <col min="31" max="31" width="7.5" style="53" customWidth="1"/>
    <col min="32" max="32" width="7.25" style="53" customWidth="1"/>
    <col min="33" max="33" width="10.75" style="53" customWidth="1"/>
    <col min="34" max="34" width="7.5" style="53" customWidth="1"/>
    <col min="35" max="35" width="7.25" style="53" customWidth="1"/>
    <col min="36" max="36" width="10.75" style="53" customWidth="1"/>
    <col min="37" max="37" width="6.625" style="53" customWidth="1"/>
    <col min="38" max="38" width="4.625" style="53" customWidth="1"/>
    <col min="39" max="39" width="9.375" style="56" customWidth="1"/>
    <col min="40" max="40" width="8.5" style="53" customWidth="1"/>
    <col min="41" max="41" width="6.75" style="53" customWidth="1"/>
    <col min="42" max="42" width="10.75" style="53" customWidth="1"/>
    <col min="43" max="43" width="8.5" style="53" customWidth="1"/>
    <col min="44" max="44" width="6.75" style="53" customWidth="1"/>
    <col min="45" max="45" width="10.75" style="53" customWidth="1"/>
    <col min="46" max="46" width="8.5" style="53" customWidth="1"/>
    <col min="47" max="47" width="6.75" style="53" customWidth="1"/>
    <col min="48" max="48" width="10.75" style="53" customWidth="1"/>
    <col min="49" max="16384" width="9" style="53"/>
  </cols>
  <sheetData>
    <row r="1" spans="1:48" ht="24" customHeight="1">
      <c r="A1" s="112" t="s">
        <v>121</v>
      </c>
      <c r="B1" s="113"/>
      <c r="C1" s="113"/>
      <c r="D1" s="113"/>
      <c r="E1" s="113"/>
      <c r="F1" s="113"/>
      <c r="G1" s="113"/>
      <c r="H1" s="113"/>
      <c r="I1" s="113"/>
      <c r="J1" s="113"/>
      <c r="K1" s="113"/>
      <c r="L1" s="113"/>
      <c r="M1" s="112" t="s">
        <v>119</v>
      </c>
      <c r="N1" s="113"/>
      <c r="O1" s="113"/>
      <c r="P1" s="113"/>
      <c r="Q1" s="113"/>
      <c r="R1" s="113"/>
      <c r="S1" s="113"/>
      <c r="T1" s="113"/>
      <c r="U1" s="113"/>
      <c r="V1" s="113"/>
      <c r="W1" s="113"/>
      <c r="X1" s="113"/>
      <c r="Y1" s="112" t="s">
        <v>123</v>
      </c>
      <c r="Z1" s="113"/>
      <c r="AA1" s="113"/>
      <c r="AB1" s="113"/>
      <c r="AC1" s="113"/>
      <c r="AD1" s="113"/>
      <c r="AE1" s="113"/>
      <c r="AF1" s="113"/>
      <c r="AG1" s="113"/>
      <c r="AH1" s="113"/>
      <c r="AI1" s="113"/>
      <c r="AJ1" s="113"/>
      <c r="AK1" s="112" t="s">
        <v>122</v>
      </c>
      <c r="AL1" s="113"/>
      <c r="AM1" s="113"/>
      <c r="AN1" s="113"/>
      <c r="AO1" s="113"/>
      <c r="AP1" s="113"/>
      <c r="AQ1" s="113"/>
      <c r="AR1" s="113"/>
      <c r="AS1" s="113"/>
      <c r="AT1" s="113"/>
      <c r="AU1" s="113"/>
      <c r="AV1" s="113"/>
    </row>
    <row r="2" spans="1:48" ht="18" customHeight="1" thickBot="1">
      <c r="AM2" s="57"/>
      <c r="AN2" s="58"/>
      <c r="AO2" s="58"/>
    </row>
    <row r="3" spans="1:48" s="84" customFormat="1" ht="27" customHeight="1">
      <c r="A3" s="100" t="s">
        <v>62</v>
      </c>
      <c r="B3" s="106" t="s">
        <v>52</v>
      </c>
      <c r="C3" s="107"/>
      <c r="D3" s="102" t="s">
        <v>169</v>
      </c>
      <c r="E3" s="102"/>
      <c r="F3" s="103"/>
      <c r="G3" s="103"/>
      <c r="H3" s="103"/>
      <c r="I3" s="103"/>
      <c r="J3" s="103"/>
      <c r="K3" s="104"/>
      <c r="L3" s="105"/>
      <c r="M3" s="100" t="s">
        <v>62</v>
      </c>
      <c r="N3" s="106" t="s">
        <v>52</v>
      </c>
      <c r="O3" s="107"/>
      <c r="P3" s="102" t="str">
        <f>D3</f>
        <v>108年</v>
      </c>
      <c r="Q3" s="102"/>
      <c r="R3" s="103"/>
      <c r="S3" s="103"/>
      <c r="T3" s="103"/>
      <c r="U3" s="103"/>
      <c r="V3" s="103"/>
      <c r="W3" s="104"/>
      <c r="X3" s="105"/>
      <c r="Y3" s="100" t="s">
        <v>62</v>
      </c>
      <c r="Z3" s="106" t="s">
        <v>52</v>
      </c>
      <c r="AA3" s="107"/>
      <c r="AB3" s="102" t="str">
        <f>D3</f>
        <v>108年</v>
      </c>
      <c r="AC3" s="102"/>
      <c r="AD3" s="103"/>
      <c r="AE3" s="103"/>
      <c r="AF3" s="103"/>
      <c r="AG3" s="103"/>
      <c r="AH3" s="103"/>
      <c r="AI3" s="104"/>
      <c r="AJ3" s="105"/>
      <c r="AK3" s="100" t="s">
        <v>62</v>
      </c>
      <c r="AL3" s="106" t="s">
        <v>52</v>
      </c>
      <c r="AM3" s="107"/>
      <c r="AN3" s="102" t="str">
        <f>D3</f>
        <v>108年</v>
      </c>
      <c r="AO3" s="102"/>
      <c r="AP3" s="103"/>
      <c r="AQ3" s="103"/>
      <c r="AR3" s="103"/>
      <c r="AS3" s="103"/>
      <c r="AT3" s="103"/>
      <c r="AU3" s="104"/>
      <c r="AV3" s="105"/>
    </row>
    <row r="4" spans="1:48" s="84" customFormat="1" ht="27" customHeight="1">
      <c r="A4" s="101"/>
      <c r="B4" s="108"/>
      <c r="C4" s="109"/>
      <c r="D4" s="99" t="s">
        <v>12</v>
      </c>
      <c r="E4" s="99"/>
      <c r="F4" s="99"/>
      <c r="G4" s="99" t="s">
        <v>13</v>
      </c>
      <c r="H4" s="99"/>
      <c r="I4" s="99"/>
      <c r="J4" s="99" t="s">
        <v>14</v>
      </c>
      <c r="K4" s="114"/>
      <c r="L4" s="115"/>
      <c r="M4" s="101"/>
      <c r="N4" s="108"/>
      <c r="O4" s="109"/>
      <c r="P4" s="99" t="s">
        <v>12</v>
      </c>
      <c r="Q4" s="99"/>
      <c r="R4" s="99"/>
      <c r="S4" s="99" t="s">
        <v>13</v>
      </c>
      <c r="T4" s="99"/>
      <c r="U4" s="99"/>
      <c r="V4" s="99" t="s">
        <v>14</v>
      </c>
      <c r="W4" s="114"/>
      <c r="X4" s="115"/>
      <c r="Y4" s="101"/>
      <c r="Z4" s="108"/>
      <c r="AA4" s="109"/>
      <c r="AB4" s="99" t="s">
        <v>12</v>
      </c>
      <c r="AC4" s="99"/>
      <c r="AD4" s="99"/>
      <c r="AE4" s="99" t="s">
        <v>13</v>
      </c>
      <c r="AF4" s="99"/>
      <c r="AG4" s="99"/>
      <c r="AH4" s="99" t="s">
        <v>14</v>
      </c>
      <c r="AI4" s="114"/>
      <c r="AJ4" s="115"/>
      <c r="AK4" s="101"/>
      <c r="AL4" s="108"/>
      <c r="AM4" s="109"/>
      <c r="AN4" s="99" t="s">
        <v>12</v>
      </c>
      <c r="AO4" s="99"/>
      <c r="AP4" s="99"/>
      <c r="AQ4" s="99" t="s">
        <v>13</v>
      </c>
      <c r="AR4" s="99"/>
      <c r="AS4" s="99"/>
      <c r="AT4" s="99" t="s">
        <v>14</v>
      </c>
      <c r="AU4" s="114"/>
      <c r="AV4" s="115"/>
    </row>
    <row r="5" spans="1:48" ht="49.5">
      <c r="A5" s="101"/>
      <c r="B5" s="110"/>
      <c r="C5" s="111"/>
      <c r="D5" s="60" t="s">
        <v>124</v>
      </c>
      <c r="E5" s="85" t="s">
        <v>15</v>
      </c>
      <c r="F5" s="85" t="s">
        <v>16</v>
      </c>
      <c r="G5" s="60" t="s">
        <v>124</v>
      </c>
      <c r="H5" s="85" t="s">
        <v>15</v>
      </c>
      <c r="I5" s="85" t="s">
        <v>16</v>
      </c>
      <c r="J5" s="60" t="s">
        <v>124</v>
      </c>
      <c r="K5" s="85" t="s">
        <v>15</v>
      </c>
      <c r="L5" s="86" t="s">
        <v>16</v>
      </c>
      <c r="M5" s="101"/>
      <c r="N5" s="110"/>
      <c r="O5" s="111"/>
      <c r="P5" s="60" t="s">
        <v>166</v>
      </c>
      <c r="Q5" s="82" t="s">
        <v>158</v>
      </c>
      <c r="R5" s="85" t="s">
        <v>16</v>
      </c>
      <c r="S5" s="60" t="s">
        <v>166</v>
      </c>
      <c r="T5" s="82" t="s">
        <v>158</v>
      </c>
      <c r="U5" s="85" t="s">
        <v>16</v>
      </c>
      <c r="V5" s="60" t="s">
        <v>166</v>
      </c>
      <c r="W5" s="82" t="s">
        <v>158</v>
      </c>
      <c r="X5" s="86" t="s">
        <v>16</v>
      </c>
      <c r="Y5" s="101"/>
      <c r="Z5" s="110"/>
      <c r="AA5" s="111"/>
      <c r="AB5" s="60" t="s">
        <v>124</v>
      </c>
      <c r="AC5" s="85" t="s">
        <v>15</v>
      </c>
      <c r="AD5" s="85" t="s">
        <v>16</v>
      </c>
      <c r="AE5" s="60" t="s">
        <v>124</v>
      </c>
      <c r="AF5" s="85" t="s">
        <v>15</v>
      </c>
      <c r="AG5" s="85" t="s">
        <v>16</v>
      </c>
      <c r="AH5" s="60" t="s">
        <v>124</v>
      </c>
      <c r="AI5" s="85" t="s">
        <v>15</v>
      </c>
      <c r="AJ5" s="86" t="s">
        <v>16</v>
      </c>
      <c r="AK5" s="101"/>
      <c r="AL5" s="110"/>
      <c r="AM5" s="111"/>
      <c r="AN5" s="60" t="s">
        <v>124</v>
      </c>
      <c r="AO5" s="85" t="s">
        <v>15</v>
      </c>
      <c r="AP5" s="85" t="s">
        <v>16</v>
      </c>
      <c r="AQ5" s="60" t="s">
        <v>124</v>
      </c>
      <c r="AR5" s="85" t="s">
        <v>15</v>
      </c>
      <c r="AS5" s="85" t="s">
        <v>16</v>
      </c>
      <c r="AT5" s="60" t="s">
        <v>124</v>
      </c>
      <c r="AU5" s="85" t="s">
        <v>15</v>
      </c>
      <c r="AV5" s="86" t="s">
        <v>16</v>
      </c>
    </row>
    <row r="6" spans="1:48" ht="24" customHeight="1">
      <c r="A6" s="170" t="s">
        <v>145</v>
      </c>
      <c r="B6" s="120" t="s">
        <v>17</v>
      </c>
      <c r="C6" s="63" t="s">
        <v>76</v>
      </c>
      <c r="D6" s="64">
        <f t="shared" ref="D6:D38" si="0">F6/E6</f>
        <v>1359916.0564133234</v>
      </c>
      <c r="E6" s="64">
        <f>SUM(E7:E28)</f>
        <v>81931</v>
      </c>
      <c r="F6" s="64">
        <f>SUM(F7:F28)</f>
        <v>111419282418</v>
      </c>
      <c r="G6" s="64">
        <f>I6/H6</f>
        <v>1376947.9618998929</v>
      </c>
      <c r="H6" s="64">
        <f t="shared" ref="H6:L6" si="1">SUM(H7:H28)</f>
        <v>41076</v>
      </c>
      <c r="I6" s="64">
        <f t="shared" si="1"/>
        <v>56559514483</v>
      </c>
      <c r="J6" s="64">
        <f t="shared" ref="J6:J38" si="2">L6/K6</f>
        <v>1342792.0189695263</v>
      </c>
      <c r="K6" s="64">
        <f t="shared" ref="K6" si="3">SUM(K7:K28)</f>
        <v>40855</v>
      </c>
      <c r="L6" s="65">
        <f t="shared" si="1"/>
        <v>54859767935</v>
      </c>
      <c r="M6" s="170" t="s">
        <v>146</v>
      </c>
      <c r="N6" s="120" t="s">
        <v>17</v>
      </c>
      <c r="O6" s="63" t="s">
        <v>76</v>
      </c>
      <c r="P6" s="64">
        <f>R6/Q6/12</f>
        <v>17322.039240873204</v>
      </c>
      <c r="Q6" s="64">
        <v>1228134.58</v>
      </c>
      <c r="R6" s="64">
        <f>U6+X6</f>
        <v>255285544654</v>
      </c>
      <c r="S6" s="64">
        <f>U6/T6/12</f>
        <v>18487.326053884764</v>
      </c>
      <c r="T6" s="64">
        <v>561891.92000000004</v>
      </c>
      <c r="U6" s="64">
        <f>SUM(U7:U28)+(52872)</f>
        <v>124654549585</v>
      </c>
      <c r="V6" s="66">
        <f>X6/W6/12</f>
        <v>16339.266075152465</v>
      </c>
      <c r="W6" s="64">
        <v>666242.67000000004</v>
      </c>
      <c r="X6" s="65">
        <f>SUM(X7:X28)+(0)</f>
        <v>130630995069</v>
      </c>
      <c r="Y6" s="170" t="s">
        <v>149</v>
      </c>
      <c r="Z6" s="120" t="s">
        <v>17</v>
      </c>
      <c r="AA6" s="63" t="s">
        <v>76</v>
      </c>
      <c r="AB6" s="64">
        <f>AD6/AC6</f>
        <v>111930.10944603468</v>
      </c>
      <c r="AC6" s="64">
        <f>AF6+AI6</f>
        <v>23756</v>
      </c>
      <c r="AD6" s="64">
        <f>AG6+AJ6</f>
        <v>2659011680</v>
      </c>
      <c r="AE6" s="64">
        <f>AG6/AF6</f>
        <v>131621.60951976202</v>
      </c>
      <c r="AF6" s="64">
        <f>SUM(AF7:AF28)+(0)</f>
        <v>11765</v>
      </c>
      <c r="AG6" s="64">
        <f>SUM(AG7:AG28)+(0)</f>
        <v>1548528236</v>
      </c>
      <c r="AH6" s="64">
        <f>AJ6/AI6</f>
        <v>92609.74430823118</v>
      </c>
      <c r="AI6" s="64">
        <f>SUM(AI7:AI28)+(4)</f>
        <v>11991</v>
      </c>
      <c r="AJ6" s="65">
        <f>SUM(AJ7:AJ28)+(3872)</f>
        <v>1110483444</v>
      </c>
      <c r="AK6" s="170" t="s">
        <v>151</v>
      </c>
      <c r="AL6" s="120" t="s">
        <v>17</v>
      </c>
      <c r="AM6" s="63" t="s">
        <v>76</v>
      </c>
      <c r="AN6" s="64">
        <f>AP6/AO6</f>
        <v>758029.70374824619</v>
      </c>
      <c r="AO6" s="64">
        <f>SUM(AO7:AO28)</f>
        <v>4989</v>
      </c>
      <c r="AP6" s="64">
        <f>SUM(AP7:AP28)</f>
        <v>3781810192</v>
      </c>
      <c r="AQ6" s="64">
        <f>AS6/AR6</f>
        <v>779738.60341431387</v>
      </c>
      <c r="AR6" s="64">
        <f t="shared" ref="AR6:AS6" si="4">SUM(AR7:AR28)</f>
        <v>3046</v>
      </c>
      <c r="AS6" s="64">
        <f t="shared" si="4"/>
        <v>2375083786</v>
      </c>
      <c r="AT6" s="64">
        <f>AV6/AU6</f>
        <v>723997.12094698916</v>
      </c>
      <c r="AU6" s="64">
        <f t="shared" ref="AU6:AV6" si="5">SUM(AU7:AU28)</f>
        <v>1943</v>
      </c>
      <c r="AV6" s="65">
        <f t="shared" si="5"/>
        <v>1406726406</v>
      </c>
    </row>
    <row r="7" spans="1:48" ht="24" customHeight="1">
      <c r="A7" s="171"/>
      <c r="B7" s="121"/>
      <c r="C7" s="63" t="s">
        <v>95</v>
      </c>
      <c r="D7" s="64">
        <f t="shared" si="0"/>
        <v>1414240.9518380642</v>
      </c>
      <c r="E7" s="64">
        <f>H7+K7</f>
        <v>12894</v>
      </c>
      <c r="F7" s="64">
        <f>I7+L7</f>
        <v>18235222833</v>
      </c>
      <c r="G7" s="64">
        <f t="shared" ref="G7:G38" si="6">I7/H7</f>
        <v>1425482.2501915123</v>
      </c>
      <c r="H7" s="64">
        <v>6527</v>
      </c>
      <c r="I7" s="64">
        <v>9304122647</v>
      </c>
      <c r="J7" s="64">
        <f t="shared" si="2"/>
        <v>1402717.1644416524</v>
      </c>
      <c r="K7" s="64">
        <v>6367</v>
      </c>
      <c r="L7" s="65">
        <v>8931100186</v>
      </c>
      <c r="M7" s="171"/>
      <c r="N7" s="121"/>
      <c r="O7" s="63" t="s">
        <v>95</v>
      </c>
      <c r="P7" s="64">
        <f t="shared" ref="P7:P28" si="7">R7/Q7/12</f>
        <v>17387.015926779863</v>
      </c>
      <c r="Q7" s="64">
        <v>180887.58</v>
      </c>
      <c r="R7" s="64">
        <f t="shared" ref="R7:R28" si="8">U7+X7</f>
        <v>37741142813</v>
      </c>
      <c r="S7" s="64">
        <f t="shared" ref="S7:S28" si="9">U7/T7/12</f>
        <v>18263.000611814681</v>
      </c>
      <c r="T7" s="64">
        <v>82742.92</v>
      </c>
      <c r="U7" s="64">
        <v>18133607983</v>
      </c>
      <c r="V7" s="66">
        <f t="shared" ref="V7:V28" si="10">X7/W7/12</f>
        <v>16648.496916168075</v>
      </c>
      <c r="W7" s="64">
        <v>98144.67</v>
      </c>
      <c r="X7" s="65">
        <v>19607534830</v>
      </c>
      <c r="Y7" s="171"/>
      <c r="Z7" s="121"/>
      <c r="AA7" s="63" t="s">
        <v>95</v>
      </c>
      <c r="AB7" s="64">
        <f t="shared" ref="AB7:AB38" si="11">AD7/AC7</f>
        <v>119230.60524764151</v>
      </c>
      <c r="AC7" s="64">
        <f>AF7+AI7</f>
        <v>3392</v>
      </c>
      <c r="AD7" s="64">
        <f>AG7+AJ7</f>
        <v>404430213</v>
      </c>
      <c r="AE7" s="64">
        <f t="shared" ref="AE7:AE38" si="12">AG7/AF7</f>
        <v>142434.1554770318</v>
      </c>
      <c r="AF7" s="64">
        <v>1698</v>
      </c>
      <c r="AG7" s="64">
        <v>241853196</v>
      </c>
      <c r="AH7" s="64">
        <f t="shared" ref="AH7:AH38" si="13">AJ7/AI7</f>
        <v>95972.265053128693</v>
      </c>
      <c r="AI7" s="64">
        <v>1694</v>
      </c>
      <c r="AJ7" s="65">
        <v>162577017</v>
      </c>
      <c r="AK7" s="171"/>
      <c r="AL7" s="121"/>
      <c r="AM7" s="63" t="s">
        <v>95</v>
      </c>
      <c r="AN7" s="64">
        <f t="shared" ref="AN7:AN38" si="14">AP7/AO7</f>
        <v>750379.3</v>
      </c>
      <c r="AO7" s="64">
        <f>AR7+AU7</f>
        <v>690</v>
      </c>
      <c r="AP7" s="64">
        <f>AS7+AV7</f>
        <v>517761717</v>
      </c>
      <c r="AQ7" s="64">
        <f t="shared" ref="AQ7:AQ38" si="15">AS7/AR7</f>
        <v>762261.14452214458</v>
      </c>
      <c r="AR7" s="64">
        <v>429</v>
      </c>
      <c r="AS7" s="64">
        <v>327010031</v>
      </c>
      <c r="AT7" s="64">
        <f t="shared" ref="AT7:AT38" si="16">AV7/AU7</f>
        <v>730849.37164750963</v>
      </c>
      <c r="AU7" s="64">
        <v>261</v>
      </c>
      <c r="AV7" s="65">
        <v>190751686</v>
      </c>
    </row>
    <row r="8" spans="1:48" ht="24" customHeight="1">
      <c r="A8" s="171"/>
      <c r="B8" s="121"/>
      <c r="C8" s="63" t="s">
        <v>96</v>
      </c>
      <c r="D8" s="64">
        <f t="shared" si="0"/>
        <v>1379019.2789097989</v>
      </c>
      <c r="E8" s="64">
        <f t="shared" ref="E8:F28" si="17">H8+K8</f>
        <v>15410</v>
      </c>
      <c r="F8" s="64">
        <f t="shared" si="17"/>
        <v>21250687088</v>
      </c>
      <c r="G8" s="64">
        <f t="shared" si="6"/>
        <v>1395639.5832185175</v>
      </c>
      <c r="H8" s="64">
        <v>7258</v>
      </c>
      <c r="I8" s="64">
        <v>10129552095</v>
      </c>
      <c r="J8" s="64">
        <f t="shared" si="2"/>
        <v>1364221.6625368008</v>
      </c>
      <c r="K8" s="64">
        <v>8152</v>
      </c>
      <c r="L8" s="65">
        <v>11121134993</v>
      </c>
      <c r="M8" s="171"/>
      <c r="N8" s="121"/>
      <c r="O8" s="63" t="s">
        <v>96</v>
      </c>
      <c r="P8" s="64">
        <f t="shared" si="7"/>
        <v>17720.021219195438</v>
      </c>
      <c r="Q8" s="64">
        <v>250696.75</v>
      </c>
      <c r="R8" s="64">
        <f t="shared" si="8"/>
        <v>53308220755</v>
      </c>
      <c r="S8" s="64">
        <f t="shared" si="9"/>
        <v>18725.418850365251</v>
      </c>
      <c r="T8" s="64">
        <v>117169.33</v>
      </c>
      <c r="U8" s="64">
        <v>26328537368</v>
      </c>
      <c r="V8" s="66">
        <f t="shared" si="10"/>
        <v>16837.792184681366</v>
      </c>
      <c r="W8" s="64">
        <v>133527.42000000001</v>
      </c>
      <c r="X8" s="67">
        <v>26979683387</v>
      </c>
      <c r="Y8" s="171"/>
      <c r="Z8" s="121"/>
      <c r="AA8" s="63" t="s">
        <v>96</v>
      </c>
      <c r="AB8" s="64">
        <f t="shared" si="11"/>
        <v>115098.8118584342</v>
      </c>
      <c r="AC8" s="64">
        <f t="shared" ref="AC8:AD28" si="18">AF8+AI8</f>
        <v>6527</v>
      </c>
      <c r="AD8" s="64">
        <f t="shared" si="18"/>
        <v>751249945</v>
      </c>
      <c r="AE8" s="64">
        <f t="shared" si="12"/>
        <v>129800.14362714013</v>
      </c>
      <c r="AF8" s="64">
        <v>3154</v>
      </c>
      <c r="AG8" s="64">
        <v>409389653</v>
      </c>
      <c r="AH8" s="64">
        <f t="shared" si="13"/>
        <v>101351.99881411207</v>
      </c>
      <c r="AI8" s="64">
        <v>3373</v>
      </c>
      <c r="AJ8" s="65">
        <v>341860292</v>
      </c>
      <c r="AK8" s="171"/>
      <c r="AL8" s="121"/>
      <c r="AM8" s="63" t="s">
        <v>96</v>
      </c>
      <c r="AN8" s="64">
        <f t="shared" si="14"/>
        <v>793886.97159763309</v>
      </c>
      <c r="AO8" s="64">
        <f t="shared" ref="AO8:AP28" si="19">AR8+AU8</f>
        <v>845</v>
      </c>
      <c r="AP8" s="64">
        <f t="shared" si="19"/>
        <v>670834491</v>
      </c>
      <c r="AQ8" s="64">
        <f t="shared" si="15"/>
        <v>823471.89179104473</v>
      </c>
      <c r="AR8" s="64">
        <v>536</v>
      </c>
      <c r="AS8" s="64">
        <v>441380934</v>
      </c>
      <c r="AT8" s="64">
        <f t="shared" si="16"/>
        <v>742568.14563106792</v>
      </c>
      <c r="AU8" s="64">
        <v>309</v>
      </c>
      <c r="AV8" s="65">
        <v>229453557</v>
      </c>
    </row>
    <row r="9" spans="1:48" ht="24" customHeight="1">
      <c r="A9" s="171"/>
      <c r="B9" s="121"/>
      <c r="C9" s="63" t="s">
        <v>101</v>
      </c>
      <c r="D9" s="64">
        <f t="shared" si="0"/>
        <v>1394232.4453024452</v>
      </c>
      <c r="E9" s="64">
        <f t="shared" si="17"/>
        <v>6993</v>
      </c>
      <c r="F9" s="64">
        <f t="shared" si="17"/>
        <v>9749867490</v>
      </c>
      <c r="G9" s="64">
        <f t="shared" si="6"/>
        <v>1434237.0008138905</v>
      </c>
      <c r="H9" s="64">
        <v>3686</v>
      </c>
      <c r="I9" s="64">
        <v>5286597585</v>
      </c>
      <c r="J9" s="64">
        <f t="shared" si="2"/>
        <v>1349643.1524039914</v>
      </c>
      <c r="K9" s="64">
        <v>3307</v>
      </c>
      <c r="L9" s="65">
        <v>4463269905</v>
      </c>
      <c r="M9" s="171"/>
      <c r="N9" s="121"/>
      <c r="O9" s="63" t="s">
        <v>101</v>
      </c>
      <c r="P9" s="64">
        <f t="shared" si="7"/>
        <v>17949.971858753674</v>
      </c>
      <c r="Q9" s="64">
        <v>86231.67</v>
      </c>
      <c r="R9" s="64">
        <f t="shared" si="8"/>
        <v>18574272598</v>
      </c>
      <c r="S9" s="64">
        <f t="shared" si="9"/>
        <v>19410.240738308337</v>
      </c>
      <c r="T9" s="64">
        <v>43700.08</v>
      </c>
      <c r="U9" s="64">
        <v>10178748877</v>
      </c>
      <c r="V9" s="66">
        <f t="shared" si="10"/>
        <v>16449.588205987173</v>
      </c>
      <c r="W9" s="64">
        <v>42531.58</v>
      </c>
      <c r="X9" s="65">
        <v>8395523721</v>
      </c>
      <c r="Y9" s="171"/>
      <c r="Z9" s="121"/>
      <c r="AA9" s="63" t="s">
        <v>101</v>
      </c>
      <c r="AB9" s="64">
        <f t="shared" si="11"/>
        <v>121353.23245881635</v>
      </c>
      <c r="AC9" s="64">
        <f t="shared" si="18"/>
        <v>1639</v>
      </c>
      <c r="AD9" s="64">
        <f t="shared" si="18"/>
        <v>198897948</v>
      </c>
      <c r="AE9" s="64">
        <f t="shared" si="12"/>
        <v>141502.41800246609</v>
      </c>
      <c r="AF9" s="64">
        <v>811</v>
      </c>
      <c r="AG9" s="64">
        <v>114758461</v>
      </c>
      <c r="AH9" s="64">
        <f t="shared" si="13"/>
        <v>101617.73792270532</v>
      </c>
      <c r="AI9" s="64">
        <v>828</v>
      </c>
      <c r="AJ9" s="65">
        <v>84139487</v>
      </c>
      <c r="AK9" s="171"/>
      <c r="AL9" s="121"/>
      <c r="AM9" s="63" t="s">
        <v>101</v>
      </c>
      <c r="AN9" s="64">
        <f t="shared" si="14"/>
        <v>762908.08974358975</v>
      </c>
      <c r="AO9" s="64">
        <f t="shared" si="19"/>
        <v>312</v>
      </c>
      <c r="AP9" s="64">
        <f t="shared" si="19"/>
        <v>238027324</v>
      </c>
      <c r="AQ9" s="64">
        <f t="shared" si="15"/>
        <v>782766.39108910889</v>
      </c>
      <c r="AR9" s="64">
        <v>202</v>
      </c>
      <c r="AS9" s="64">
        <v>158118811</v>
      </c>
      <c r="AT9" s="64">
        <f t="shared" si="16"/>
        <v>726441.02727272722</v>
      </c>
      <c r="AU9" s="64">
        <v>110</v>
      </c>
      <c r="AV9" s="65">
        <v>79908513</v>
      </c>
    </row>
    <row r="10" spans="1:48" ht="24" customHeight="1">
      <c r="A10" s="171"/>
      <c r="B10" s="121"/>
      <c r="C10" s="63" t="s">
        <v>97</v>
      </c>
      <c r="D10" s="64">
        <f t="shared" si="0"/>
        <v>1299949.4784801221</v>
      </c>
      <c r="E10" s="64">
        <f t="shared" si="17"/>
        <v>8527</v>
      </c>
      <c r="F10" s="64">
        <f t="shared" si="17"/>
        <v>11084669203</v>
      </c>
      <c r="G10" s="64">
        <f t="shared" si="6"/>
        <v>1338205.9779633495</v>
      </c>
      <c r="H10" s="64">
        <v>4311</v>
      </c>
      <c r="I10" s="64">
        <v>5769005971</v>
      </c>
      <c r="J10" s="64">
        <f t="shared" si="2"/>
        <v>1260830.9373814042</v>
      </c>
      <c r="K10" s="64">
        <v>4216</v>
      </c>
      <c r="L10" s="65">
        <v>5315663232</v>
      </c>
      <c r="M10" s="171"/>
      <c r="N10" s="121"/>
      <c r="O10" s="63" t="s">
        <v>97</v>
      </c>
      <c r="P10" s="64">
        <f t="shared" si="7"/>
        <v>16455.223457550852</v>
      </c>
      <c r="Q10" s="64">
        <v>118096.33</v>
      </c>
      <c r="R10" s="64">
        <f t="shared" si="8"/>
        <v>23319617996</v>
      </c>
      <c r="S10" s="64">
        <f t="shared" si="9"/>
        <v>17568.925771359405</v>
      </c>
      <c r="T10" s="64">
        <v>57899.08</v>
      </c>
      <c r="U10" s="64">
        <v>12206695665</v>
      </c>
      <c r="V10" s="66">
        <f t="shared" si="10"/>
        <v>15384.039319348753</v>
      </c>
      <c r="W10" s="64">
        <v>60197.25</v>
      </c>
      <c r="X10" s="68">
        <v>11112922331</v>
      </c>
      <c r="Y10" s="171"/>
      <c r="Z10" s="121"/>
      <c r="AA10" s="63" t="s">
        <v>97</v>
      </c>
      <c r="AB10" s="64">
        <f t="shared" si="11"/>
        <v>108648.69599495428</v>
      </c>
      <c r="AC10" s="64">
        <f t="shared" si="18"/>
        <v>3171</v>
      </c>
      <c r="AD10" s="64">
        <f t="shared" si="18"/>
        <v>344525015</v>
      </c>
      <c r="AE10" s="64">
        <f t="shared" si="12"/>
        <v>131615.59377027903</v>
      </c>
      <c r="AF10" s="64">
        <v>1541</v>
      </c>
      <c r="AG10" s="64">
        <v>202819630</v>
      </c>
      <c r="AH10" s="64">
        <f t="shared" si="13"/>
        <v>86935.819018404902</v>
      </c>
      <c r="AI10" s="64">
        <v>1630</v>
      </c>
      <c r="AJ10" s="65">
        <v>141705385</v>
      </c>
      <c r="AK10" s="171"/>
      <c r="AL10" s="121"/>
      <c r="AM10" s="63" t="s">
        <v>97</v>
      </c>
      <c r="AN10" s="64">
        <f t="shared" si="14"/>
        <v>754393.37711864407</v>
      </c>
      <c r="AO10" s="64">
        <f t="shared" si="19"/>
        <v>472</v>
      </c>
      <c r="AP10" s="64">
        <f t="shared" si="19"/>
        <v>356073674</v>
      </c>
      <c r="AQ10" s="64">
        <f t="shared" si="15"/>
        <v>758998.24840764329</v>
      </c>
      <c r="AR10" s="64">
        <v>314</v>
      </c>
      <c r="AS10" s="64">
        <v>238325450</v>
      </c>
      <c r="AT10" s="64">
        <f t="shared" si="16"/>
        <v>745241.92405063286</v>
      </c>
      <c r="AU10" s="64">
        <v>158</v>
      </c>
      <c r="AV10" s="65">
        <v>117748224</v>
      </c>
    </row>
    <row r="11" spans="1:48" ht="24" customHeight="1">
      <c r="A11" s="171"/>
      <c r="B11" s="121"/>
      <c r="C11" s="63" t="s">
        <v>98</v>
      </c>
      <c r="D11" s="64">
        <f t="shared" si="0"/>
        <v>1235895.1720824598</v>
      </c>
      <c r="E11" s="64">
        <f t="shared" si="17"/>
        <v>5724</v>
      </c>
      <c r="F11" s="64">
        <f t="shared" si="17"/>
        <v>7074263965</v>
      </c>
      <c r="G11" s="64">
        <f t="shared" si="6"/>
        <v>1275655.2974640164</v>
      </c>
      <c r="H11" s="64">
        <v>2918</v>
      </c>
      <c r="I11" s="64">
        <v>3722362158</v>
      </c>
      <c r="J11" s="64">
        <f t="shared" si="2"/>
        <v>1194548.0424091234</v>
      </c>
      <c r="K11" s="64">
        <v>2806</v>
      </c>
      <c r="L11" s="65">
        <v>3351901807</v>
      </c>
      <c r="M11" s="171"/>
      <c r="N11" s="121"/>
      <c r="O11" s="63" t="s">
        <v>98</v>
      </c>
      <c r="P11" s="64">
        <f t="shared" si="7"/>
        <v>15761.827036142167</v>
      </c>
      <c r="Q11" s="64">
        <v>90905.08</v>
      </c>
      <c r="R11" s="64">
        <f t="shared" si="8"/>
        <v>17193961772</v>
      </c>
      <c r="S11" s="64">
        <f t="shared" si="9"/>
        <v>17099.061512873246</v>
      </c>
      <c r="T11" s="64">
        <v>42264.92</v>
      </c>
      <c r="U11" s="64">
        <v>8672285603</v>
      </c>
      <c r="V11" s="66">
        <f t="shared" si="10"/>
        <v>14599.860172158116</v>
      </c>
      <c r="W11" s="64">
        <v>48640.17</v>
      </c>
      <c r="X11" s="65">
        <v>8521676169</v>
      </c>
      <c r="Y11" s="171"/>
      <c r="Z11" s="121"/>
      <c r="AA11" s="63" t="s">
        <v>98</v>
      </c>
      <c r="AB11" s="64">
        <f t="shared" si="11"/>
        <v>109007.2114967462</v>
      </c>
      <c r="AC11" s="64">
        <f t="shared" si="18"/>
        <v>1844</v>
      </c>
      <c r="AD11" s="64">
        <f t="shared" si="18"/>
        <v>201009298</v>
      </c>
      <c r="AE11" s="64">
        <f t="shared" si="12"/>
        <v>131828.13891951489</v>
      </c>
      <c r="AF11" s="64">
        <v>907</v>
      </c>
      <c r="AG11" s="64">
        <v>119568122</v>
      </c>
      <c r="AH11" s="64">
        <f t="shared" si="13"/>
        <v>86916.943436499467</v>
      </c>
      <c r="AI11" s="64">
        <v>937</v>
      </c>
      <c r="AJ11" s="65">
        <v>81441176</v>
      </c>
      <c r="AK11" s="171"/>
      <c r="AL11" s="121"/>
      <c r="AM11" s="63" t="s">
        <v>98</v>
      </c>
      <c r="AN11" s="64">
        <f t="shared" si="14"/>
        <v>654326.8033573142</v>
      </c>
      <c r="AO11" s="64">
        <f t="shared" si="19"/>
        <v>417</v>
      </c>
      <c r="AP11" s="64">
        <f t="shared" si="19"/>
        <v>272854277</v>
      </c>
      <c r="AQ11" s="64">
        <f t="shared" si="15"/>
        <v>662784.84962406009</v>
      </c>
      <c r="AR11" s="64">
        <v>266</v>
      </c>
      <c r="AS11" s="64">
        <v>176300770</v>
      </c>
      <c r="AT11" s="64">
        <f t="shared" si="16"/>
        <v>639427.19867549674</v>
      </c>
      <c r="AU11" s="64">
        <v>151</v>
      </c>
      <c r="AV11" s="65">
        <v>96553507</v>
      </c>
    </row>
    <row r="12" spans="1:48" ht="24" customHeight="1">
      <c r="A12" s="171"/>
      <c r="B12" s="121"/>
      <c r="C12" s="63" t="s">
        <v>99</v>
      </c>
      <c r="D12" s="64">
        <f t="shared" si="0"/>
        <v>1308571.6347481722</v>
      </c>
      <c r="E12" s="64">
        <f t="shared" si="17"/>
        <v>9848</v>
      </c>
      <c r="F12" s="64">
        <f t="shared" si="17"/>
        <v>12886813459</v>
      </c>
      <c r="G12" s="64">
        <f t="shared" si="6"/>
        <v>1320747.7900040306</v>
      </c>
      <c r="H12" s="64">
        <v>4962</v>
      </c>
      <c r="I12" s="64">
        <v>6553550534</v>
      </c>
      <c r="J12" s="64">
        <f t="shared" si="2"/>
        <v>1296206.083708555</v>
      </c>
      <c r="K12" s="64">
        <v>4886</v>
      </c>
      <c r="L12" s="65">
        <v>6333262925</v>
      </c>
      <c r="M12" s="171"/>
      <c r="N12" s="121"/>
      <c r="O12" s="63" t="s">
        <v>99</v>
      </c>
      <c r="P12" s="64">
        <f t="shared" si="7"/>
        <v>17636.540160306391</v>
      </c>
      <c r="Q12" s="64">
        <v>159840.57999999999</v>
      </c>
      <c r="R12" s="64">
        <f t="shared" si="8"/>
        <v>33828417701</v>
      </c>
      <c r="S12" s="64">
        <f t="shared" si="9"/>
        <v>19569.172914870538</v>
      </c>
      <c r="T12" s="64">
        <v>71914</v>
      </c>
      <c r="U12" s="64">
        <v>16887570012</v>
      </c>
      <c r="V12" s="66">
        <f t="shared" si="10"/>
        <v>16055.865102642076</v>
      </c>
      <c r="W12" s="64">
        <v>87926.58</v>
      </c>
      <c r="X12" s="65">
        <v>16940847689</v>
      </c>
      <c r="Y12" s="171"/>
      <c r="Z12" s="121"/>
      <c r="AA12" s="63" t="s">
        <v>99</v>
      </c>
      <c r="AB12" s="64">
        <f t="shared" si="11"/>
        <v>101415.71211096075</v>
      </c>
      <c r="AC12" s="64">
        <f t="shared" si="18"/>
        <v>2956</v>
      </c>
      <c r="AD12" s="64">
        <f t="shared" si="18"/>
        <v>299784845</v>
      </c>
      <c r="AE12" s="64">
        <f t="shared" si="12"/>
        <v>123879.4074074074</v>
      </c>
      <c r="AF12" s="64">
        <v>1458</v>
      </c>
      <c r="AG12" s="64">
        <v>180616176</v>
      </c>
      <c r="AH12" s="64">
        <f t="shared" si="13"/>
        <v>79551.848464619499</v>
      </c>
      <c r="AI12" s="64">
        <v>1498</v>
      </c>
      <c r="AJ12" s="65">
        <v>119168669</v>
      </c>
      <c r="AK12" s="171"/>
      <c r="AL12" s="121"/>
      <c r="AM12" s="63" t="s">
        <v>99</v>
      </c>
      <c r="AN12" s="64">
        <f t="shared" si="14"/>
        <v>778581.89586114825</v>
      </c>
      <c r="AO12" s="64">
        <f t="shared" si="19"/>
        <v>749</v>
      </c>
      <c r="AP12" s="64">
        <f t="shared" si="19"/>
        <v>583157840</v>
      </c>
      <c r="AQ12" s="64">
        <f t="shared" si="15"/>
        <v>804789.13656387664</v>
      </c>
      <c r="AR12" s="64">
        <v>454</v>
      </c>
      <c r="AS12" s="64">
        <v>365374268</v>
      </c>
      <c r="AT12" s="64">
        <f t="shared" si="16"/>
        <v>738249.39661016944</v>
      </c>
      <c r="AU12" s="64">
        <v>295</v>
      </c>
      <c r="AV12" s="65">
        <v>217783572</v>
      </c>
    </row>
    <row r="13" spans="1:48" ht="24" customHeight="1">
      <c r="A13" s="172"/>
      <c r="B13" s="122"/>
      <c r="C13" s="69" t="s">
        <v>77</v>
      </c>
      <c r="D13" s="70">
        <f t="shared" si="0"/>
        <v>1587334.2004728133</v>
      </c>
      <c r="E13" s="70">
        <f t="shared" si="17"/>
        <v>2115</v>
      </c>
      <c r="F13" s="70">
        <f t="shared" si="17"/>
        <v>3357211834</v>
      </c>
      <c r="G13" s="70">
        <f t="shared" si="6"/>
        <v>1548275.7125468166</v>
      </c>
      <c r="H13" s="70">
        <v>1068</v>
      </c>
      <c r="I13" s="70">
        <v>1653558461</v>
      </c>
      <c r="J13" s="70">
        <f t="shared" si="2"/>
        <v>1627176.0964660936</v>
      </c>
      <c r="K13" s="70">
        <v>1047</v>
      </c>
      <c r="L13" s="71">
        <v>1703653373</v>
      </c>
      <c r="M13" s="172"/>
      <c r="N13" s="122"/>
      <c r="O13" s="69" t="s">
        <v>77</v>
      </c>
      <c r="P13" s="70">
        <f t="shared" si="7"/>
        <v>18992.189454540396</v>
      </c>
      <c r="Q13" s="70">
        <v>28973.67</v>
      </c>
      <c r="R13" s="70">
        <f t="shared" si="8"/>
        <v>6603281158</v>
      </c>
      <c r="S13" s="70">
        <f t="shared" si="9"/>
        <v>19569.962036354107</v>
      </c>
      <c r="T13" s="70">
        <v>10887.17</v>
      </c>
      <c r="U13" s="70">
        <v>2556738043</v>
      </c>
      <c r="V13" s="72">
        <f t="shared" si="10"/>
        <v>18644.399206590551</v>
      </c>
      <c r="W13" s="70">
        <v>18086.5</v>
      </c>
      <c r="X13" s="71">
        <v>4046543115</v>
      </c>
      <c r="Y13" s="172"/>
      <c r="Z13" s="122"/>
      <c r="AA13" s="69" t="s">
        <v>77</v>
      </c>
      <c r="AB13" s="70">
        <f t="shared" si="11"/>
        <v>117246.31782945736</v>
      </c>
      <c r="AC13" s="70">
        <f t="shared" si="18"/>
        <v>129</v>
      </c>
      <c r="AD13" s="70">
        <f t="shared" si="18"/>
        <v>15124775</v>
      </c>
      <c r="AE13" s="70">
        <f t="shared" si="12"/>
        <v>126836.625</v>
      </c>
      <c r="AF13" s="70">
        <v>80</v>
      </c>
      <c r="AG13" s="70">
        <v>10146930</v>
      </c>
      <c r="AH13" s="70">
        <f t="shared" si="13"/>
        <v>101588.67346938775</v>
      </c>
      <c r="AI13" s="70">
        <v>49</v>
      </c>
      <c r="AJ13" s="71">
        <v>4977845</v>
      </c>
      <c r="AK13" s="172"/>
      <c r="AL13" s="122"/>
      <c r="AM13" s="69" t="s">
        <v>77</v>
      </c>
      <c r="AN13" s="70">
        <f t="shared" si="14"/>
        <v>829321.56488549616</v>
      </c>
      <c r="AO13" s="70">
        <f t="shared" si="19"/>
        <v>131</v>
      </c>
      <c r="AP13" s="70">
        <f t="shared" si="19"/>
        <v>108641125</v>
      </c>
      <c r="AQ13" s="70">
        <f t="shared" si="15"/>
        <v>936013.27536231885</v>
      </c>
      <c r="AR13" s="70">
        <v>69</v>
      </c>
      <c r="AS13" s="70">
        <v>64584916</v>
      </c>
      <c r="AT13" s="70">
        <f t="shared" si="16"/>
        <v>710584.01612903224</v>
      </c>
      <c r="AU13" s="70">
        <v>62</v>
      </c>
      <c r="AV13" s="71">
        <v>44056209</v>
      </c>
    </row>
    <row r="14" spans="1:48" ht="24" customHeight="1">
      <c r="A14" s="172"/>
      <c r="B14" s="122"/>
      <c r="C14" s="69" t="s">
        <v>79</v>
      </c>
      <c r="D14" s="70">
        <f t="shared" si="0"/>
        <v>1419164.236273905</v>
      </c>
      <c r="E14" s="70">
        <f t="shared" si="17"/>
        <v>1621</v>
      </c>
      <c r="F14" s="70">
        <f t="shared" si="17"/>
        <v>2300465227</v>
      </c>
      <c r="G14" s="70">
        <f t="shared" si="6"/>
        <v>1474322.4791914388</v>
      </c>
      <c r="H14" s="70">
        <v>841</v>
      </c>
      <c r="I14" s="70">
        <v>1239905205</v>
      </c>
      <c r="J14" s="70">
        <f t="shared" si="2"/>
        <v>1359692.3358974359</v>
      </c>
      <c r="K14" s="70">
        <v>780</v>
      </c>
      <c r="L14" s="71">
        <v>1060560022</v>
      </c>
      <c r="M14" s="172"/>
      <c r="N14" s="122"/>
      <c r="O14" s="69" t="s">
        <v>79</v>
      </c>
      <c r="P14" s="70">
        <f t="shared" si="7"/>
        <v>18369.383328768854</v>
      </c>
      <c r="Q14" s="70">
        <v>19315.830000000002</v>
      </c>
      <c r="R14" s="70">
        <f t="shared" si="8"/>
        <v>4257838627</v>
      </c>
      <c r="S14" s="70">
        <f t="shared" si="9"/>
        <v>19433.645233498417</v>
      </c>
      <c r="T14" s="70">
        <v>8934.75</v>
      </c>
      <c r="U14" s="70">
        <v>2083617141</v>
      </c>
      <c r="V14" s="72">
        <f t="shared" si="10"/>
        <v>17453.398281617458</v>
      </c>
      <c r="W14" s="70">
        <v>10381.08</v>
      </c>
      <c r="X14" s="71">
        <v>2174221486</v>
      </c>
      <c r="Y14" s="172"/>
      <c r="Z14" s="122"/>
      <c r="AA14" s="69" t="s">
        <v>79</v>
      </c>
      <c r="AB14" s="70">
        <f t="shared" si="11"/>
        <v>137193.69169960474</v>
      </c>
      <c r="AC14" s="70">
        <f t="shared" si="18"/>
        <v>253</v>
      </c>
      <c r="AD14" s="70">
        <f t="shared" si="18"/>
        <v>34710004</v>
      </c>
      <c r="AE14" s="70">
        <f t="shared" si="12"/>
        <v>161918.92465753425</v>
      </c>
      <c r="AF14" s="70">
        <v>146</v>
      </c>
      <c r="AG14" s="70">
        <v>23640163</v>
      </c>
      <c r="AH14" s="70">
        <f t="shared" si="13"/>
        <v>103456.45794392523</v>
      </c>
      <c r="AI14" s="70">
        <v>107</v>
      </c>
      <c r="AJ14" s="71">
        <v>11069841</v>
      </c>
      <c r="AK14" s="172"/>
      <c r="AL14" s="122"/>
      <c r="AM14" s="69" t="s">
        <v>79</v>
      </c>
      <c r="AN14" s="70">
        <f t="shared" si="14"/>
        <v>774960.4</v>
      </c>
      <c r="AO14" s="70">
        <f t="shared" si="19"/>
        <v>70</v>
      </c>
      <c r="AP14" s="70">
        <f t="shared" si="19"/>
        <v>54247228</v>
      </c>
      <c r="AQ14" s="70">
        <f t="shared" si="15"/>
        <v>790995.5</v>
      </c>
      <c r="AR14" s="70">
        <v>46</v>
      </c>
      <c r="AS14" s="70">
        <v>36385793</v>
      </c>
      <c r="AT14" s="70">
        <f t="shared" si="16"/>
        <v>744226.45833333337</v>
      </c>
      <c r="AU14" s="70">
        <v>24</v>
      </c>
      <c r="AV14" s="71">
        <v>17861435</v>
      </c>
    </row>
    <row r="15" spans="1:48" ht="24" customHeight="1">
      <c r="A15" s="172"/>
      <c r="B15" s="122"/>
      <c r="C15" s="69" t="s">
        <v>80</v>
      </c>
      <c r="D15" s="70">
        <f t="shared" si="0"/>
        <v>1407060.8553054663</v>
      </c>
      <c r="E15" s="70">
        <f t="shared" si="17"/>
        <v>1555</v>
      </c>
      <c r="F15" s="70">
        <f t="shared" si="17"/>
        <v>2187979630</v>
      </c>
      <c r="G15" s="70">
        <f t="shared" si="6"/>
        <v>1407576.3666260657</v>
      </c>
      <c r="H15" s="70">
        <v>821</v>
      </c>
      <c r="I15" s="70">
        <v>1155620197</v>
      </c>
      <c r="J15" s="70">
        <f t="shared" si="2"/>
        <v>1406484.2411444141</v>
      </c>
      <c r="K15" s="70">
        <v>734</v>
      </c>
      <c r="L15" s="71">
        <v>1032359433</v>
      </c>
      <c r="M15" s="172"/>
      <c r="N15" s="122"/>
      <c r="O15" s="69" t="s">
        <v>80</v>
      </c>
      <c r="P15" s="70">
        <f t="shared" si="7"/>
        <v>17722.219675417047</v>
      </c>
      <c r="Q15" s="70">
        <v>23940.67</v>
      </c>
      <c r="R15" s="70">
        <f t="shared" si="8"/>
        <v>5091381755</v>
      </c>
      <c r="S15" s="70">
        <f t="shared" si="9"/>
        <v>19036.394484159537</v>
      </c>
      <c r="T15" s="70">
        <v>10666.25</v>
      </c>
      <c r="U15" s="70">
        <v>2436563312</v>
      </c>
      <c r="V15" s="72">
        <f t="shared" si="10"/>
        <v>16666.255116984397</v>
      </c>
      <c r="W15" s="70">
        <v>13274.42</v>
      </c>
      <c r="X15" s="71">
        <v>2654818443</v>
      </c>
      <c r="Y15" s="172"/>
      <c r="Z15" s="122"/>
      <c r="AA15" s="69" t="s">
        <v>80</v>
      </c>
      <c r="AB15" s="70">
        <f t="shared" si="11"/>
        <v>99384.591240875918</v>
      </c>
      <c r="AC15" s="70">
        <f t="shared" si="18"/>
        <v>274</v>
      </c>
      <c r="AD15" s="70">
        <f t="shared" si="18"/>
        <v>27231378</v>
      </c>
      <c r="AE15" s="70">
        <f t="shared" si="12"/>
        <v>118990.97931034483</v>
      </c>
      <c r="AF15" s="70">
        <v>145</v>
      </c>
      <c r="AG15" s="70">
        <v>17253692</v>
      </c>
      <c r="AH15" s="70">
        <f t="shared" si="13"/>
        <v>77346.403100775191</v>
      </c>
      <c r="AI15" s="70">
        <v>129</v>
      </c>
      <c r="AJ15" s="71">
        <v>9977686</v>
      </c>
      <c r="AK15" s="172"/>
      <c r="AL15" s="122"/>
      <c r="AM15" s="69" t="s">
        <v>80</v>
      </c>
      <c r="AN15" s="70">
        <f t="shared" si="14"/>
        <v>737088.6276595745</v>
      </c>
      <c r="AO15" s="70">
        <f t="shared" si="19"/>
        <v>94</v>
      </c>
      <c r="AP15" s="70">
        <f t="shared" si="19"/>
        <v>69286331</v>
      </c>
      <c r="AQ15" s="70">
        <f t="shared" si="15"/>
        <v>786664.73214285716</v>
      </c>
      <c r="AR15" s="70">
        <v>56</v>
      </c>
      <c r="AS15" s="70">
        <v>44053225</v>
      </c>
      <c r="AT15" s="70">
        <f t="shared" si="16"/>
        <v>664029.10526315786</v>
      </c>
      <c r="AU15" s="70">
        <v>38</v>
      </c>
      <c r="AV15" s="71">
        <v>25233106</v>
      </c>
    </row>
    <row r="16" spans="1:48" ht="24" customHeight="1">
      <c r="A16" s="172"/>
      <c r="B16" s="122"/>
      <c r="C16" s="69" t="s">
        <v>81</v>
      </c>
      <c r="D16" s="70">
        <f t="shared" si="0"/>
        <v>1362943.10232408</v>
      </c>
      <c r="E16" s="70">
        <f t="shared" si="17"/>
        <v>3098</v>
      </c>
      <c r="F16" s="70">
        <f t="shared" si="17"/>
        <v>4222397731</v>
      </c>
      <c r="G16" s="70">
        <f t="shared" si="6"/>
        <v>1398361.4463840399</v>
      </c>
      <c r="H16" s="70">
        <v>1604</v>
      </c>
      <c r="I16" s="70">
        <v>2242971760</v>
      </c>
      <c r="J16" s="70">
        <f t="shared" si="2"/>
        <v>1324916.9819277108</v>
      </c>
      <c r="K16" s="70">
        <v>1494</v>
      </c>
      <c r="L16" s="71">
        <v>1979425971</v>
      </c>
      <c r="M16" s="172"/>
      <c r="N16" s="122"/>
      <c r="O16" s="69" t="s">
        <v>81</v>
      </c>
      <c r="P16" s="70">
        <f t="shared" si="7"/>
        <v>16348.104832647978</v>
      </c>
      <c r="Q16" s="70">
        <v>57495.67</v>
      </c>
      <c r="R16" s="70">
        <f t="shared" si="8"/>
        <v>11279342887</v>
      </c>
      <c r="S16" s="70">
        <f t="shared" si="9"/>
        <v>17435.986199093386</v>
      </c>
      <c r="T16" s="70">
        <v>27156.67</v>
      </c>
      <c r="U16" s="70">
        <v>5682039880</v>
      </c>
      <c r="V16" s="72">
        <f t="shared" si="10"/>
        <v>15374.33393486931</v>
      </c>
      <c r="W16" s="70">
        <v>30339</v>
      </c>
      <c r="X16" s="71">
        <v>5597303007</v>
      </c>
      <c r="Y16" s="172"/>
      <c r="Z16" s="122"/>
      <c r="AA16" s="69" t="s">
        <v>81</v>
      </c>
      <c r="AB16" s="70">
        <f t="shared" si="11"/>
        <v>96151.190233977613</v>
      </c>
      <c r="AC16" s="70">
        <f t="shared" si="18"/>
        <v>983</v>
      </c>
      <c r="AD16" s="70">
        <f t="shared" si="18"/>
        <v>94516620</v>
      </c>
      <c r="AE16" s="70">
        <f t="shared" si="12"/>
        <v>117280.89755011136</v>
      </c>
      <c r="AF16" s="70">
        <v>449</v>
      </c>
      <c r="AG16" s="70">
        <v>52659123</v>
      </c>
      <c r="AH16" s="70">
        <f t="shared" si="13"/>
        <v>78384.825842696635</v>
      </c>
      <c r="AI16" s="70">
        <v>534</v>
      </c>
      <c r="AJ16" s="71">
        <v>41857497</v>
      </c>
      <c r="AK16" s="172"/>
      <c r="AL16" s="122"/>
      <c r="AM16" s="69" t="s">
        <v>81</v>
      </c>
      <c r="AN16" s="70">
        <f t="shared" si="14"/>
        <v>672867.07725321886</v>
      </c>
      <c r="AO16" s="70">
        <f t="shared" si="19"/>
        <v>233</v>
      </c>
      <c r="AP16" s="70">
        <f t="shared" si="19"/>
        <v>156778029</v>
      </c>
      <c r="AQ16" s="70">
        <f t="shared" si="15"/>
        <v>727066.10638297873</v>
      </c>
      <c r="AR16" s="70">
        <v>141</v>
      </c>
      <c r="AS16" s="70">
        <v>102516321</v>
      </c>
      <c r="AT16" s="70">
        <f t="shared" si="16"/>
        <v>589801.17391304346</v>
      </c>
      <c r="AU16" s="70">
        <v>92</v>
      </c>
      <c r="AV16" s="71">
        <v>54261708</v>
      </c>
    </row>
    <row r="17" spans="1:48" ht="24" customHeight="1">
      <c r="A17" s="172"/>
      <c r="B17" s="122"/>
      <c r="C17" s="69" t="s">
        <v>82</v>
      </c>
      <c r="D17" s="70">
        <f t="shared" si="0"/>
        <v>1314029.9962149886</v>
      </c>
      <c r="E17" s="70">
        <f t="shared" si="17"/>
        <v>1321</v>
      </c>
      <c r="F17" s="70">
        <f t="shared" si="17"/>
        <v>1735833625</v>
      </c>
      <c r="G17" s="70">
        <f t="shared" si="6"/>
        <v>1324138.9120370371</v>
      </c>
      <c r="H17" s="70">
        <v>648</v>
      </c>
      <c r="I17" s="70">
        <v>858042015</v>
      </c>
      <c r="J17" s="70">
        <f t="shared" si="2"/>
        <v>1304296.5973254086</v>
      </c>
      <c r="K17" s="70">
        <v>673</v>
      </c>
      <c r="L17" s="71">
        <v>877791610</v>
      </c>
      <c r="M17" s="172"/>
      <c r="N17" s="122"/>
      <c r="O17" s="69" t="s">
        <v>82</v>
      </c>
      <c r="P17" s="70">
        <f t="shared" si="7"/>
        <v>17319.995486453401</v>
      </c>
      <c r="Q17" s="70">
        <v>26841.42</v>
      </c>
      <c r="R17" s="70">
        <f t="shared" si="8"/>
        <v>5578719279</v>
      </c>
      <c r="S17" s="70">
        <f t="shared" si="9"/>
        <v>18130.64401640277</v>
      </c>
      <c r="T17" s="70">
        <v>10781.92</v>
      </c>
      <c r="U17" s="70">
        <v>2345797840</v>
      </c>
      <c r="V17" s="72">
        <f t="shared" si="10"/>
        <v>16775.747683095156</v>
      </c>
      <c r="W17" s="70">
        <v>16059.5</v>
      </c>
      <c r="X17" s="71">
        <v>3232921439</v>
      </c>
      <c r="Y17" s="172"/>
      <c r="Z17" s="122"/>
      <c r="AA17" s="69" t="s">
        <v>82</v>
      </c>
      <c r="AB17" s="70">
        <f t="shared" si="11"/>
        <v>93277.231034482757</v>
      </c>
      <c r="AC17" s="70">
        <f t="shared" si="18"/>
        <v>290</v>
      </c>
      <c r="AD17" s="70">
        <f t="shared" si="18"/>
        <v>27050397</v>
      </c>
      <c r="AE17" s="70">
        <f t="shared" si="12"/>
        <v>109440.41304347826</v>
      </c>
      <c r="AF17" s="70">
        <v>138</v>
      </c>
      <c r="AG17" s="70">
        <v>15102777</v>
      </c>
      <c r="AH17" s="70">
        <f t="shared" si="13"/>
        <v>78602.763157894733</v>
      </c>
      <c r="AI17" s="70">
        <v>152</v>
      </c>
      <c r="AJ17" s="71">
        <v>11947620</v>
      </c>
      <c r="AK17" s="172"/>
      <c r="AL17" s="122"/>
      <c r="AM17" s="69" t="s">
        <v>82</v>
      </c>
      <c r="AN17" s="70">
        <f t="shared" si="14"/>
        <v>859747.66071428568</v>
      </c>
      <c r="AO17" s="70">
        <f t="shared" si="19"/>
        <v>112</v>
      </c>
      <c r="AP17" s="70">
        <f t="shared" si="19"/>
        <v>96291738</v>
      </c>
      <c r="AQ17" s="70">
        <f t="shared" si="15"/>
        <v>862925.125</v>
      </c>
      <c r="AR17" s="70">
        <v>64</v>
      </c>
      <c r="AS17" s="70">
        <v>55227208</v>
      </c>
      <c r="AT17" s="70">
        <f t="shared" si="16"/>
        <v>855511.04166666663</v>
      </c>
      <c r="AU17" s="70">
        <v>48</v>
      </c>
      <c r="AV17" s="71">
        <v>41064530</v>
      </c>
    </row>
    <row r="18" spans="1:48" ht="24" customHeight="1">
      <c r="A18" s="172"/>
      <c r="B18" s="122"/>
      <c r="C18" s="69" t="s">
        <v>83</v>
      </c>
      <c r="D18" s="70">
        <f t="shared" si="0"/>
        <v>1370922.0782295419</v>
      </c>
      <c r="E18" s="70">
        <f t="shared" si="17"/>
        <v>1943</v>
      </c>
      <c r="F18" s="70">
        <f t="shared" si="17"/>
        <v>2663701598</v>
      </c>
      <c r="G18" s="70">
        <f t="shared" si="6"/>
        <v>1373478.9958932239</v>
      </c>
      <c r="H18" s="70">
        <v>974</v>
      </c>
      <c r="I18" s="70">
        <v>1337768542</v>
      </c>
      <c r="J18" s="70">
        <f t="shared" si="2"/>
        <v>1368351.9669762643</v>
      </c>
      <c r="K18" s="70">
        <v>969</v>
      </c>
      <c r="L18" s="71">
        <v>1325933056</v>
      </c>
      <c r="M18" s="172"/>
      <c r="N18" s="122"/>
      <c r="O18" s="69" t="s">
        <v>83</v>
      </c>
      <c r="P18" s="70">
        <f t="shared" si="7"/>
        <v>16724.444280081192</v>
      </c>
      <c r="Q18" s="70">
        <v>34375.08</v>
      </c>
      <c r="R18" s="70">
        <f t="shared" si="8"/>
        <v>6898849321</v>
      </c>
      <c r="S18" s="70">
        <f t="shared" si="9"/>
        <v>17814.756195153783</v>
      </c>
      <c r="T18" s="70">
        <v>14557.75</v>
      </c>
      <c r="U18" s="70">
        <v>3112113204</v>
      </c>
      <c r="V18" s="72">
        <f t="shared" si="10"/>
        <v>15923.504482356266</v>
      </c>
      <c r="W18" s="70">
        <v>19817.330000000002</v>
      </c>
      <c r="X18" s="71">
        <v>3786736117</v>
      </c>
      <c r="Y18" s="172"/>
      <c r="Z18" s="122"/>
      <c r="AA18" s="69" t="s">
        <v>83</v>
      </c>
      <c r="AB18" s="70">
        <f t="shared" si="11"/>
        <v>104014.66220735786</v>
      </c>
      <c r="AC18" s="70">
        <f t="shared" si="18"/>
        <v>299</v>
      </c>
      <c r="AD18" s="70">
        <f t="shared" si="18"/>
        <v>31100384</v>
      </c>
      <c r="AE18" s="70">
        <f t="shared" si="12"/>
        <v>108274.57386363637</v>
      </c>
      <c r="AF18" s="70">
        <v>176</v>
      </c>
      <c r="AG18" s="70">
        <v>19056325</v>
      </c>
      <c r="AH18" s="70">
        <f t="shared" si="13"/>
        <v>97919.17886178862</v>
      </c>
      <c r="AI18" s="70">
        <v>123</v>
      </c>
      <c r="AJ18" s="71">
        <v>12044059</v>
      </c>
      <c r="AK18" s="172"/>
      <c r="AL18" s="122"/>
      <c r="AM18" s="69" t="s">
        <v>83</v>
      </c>
      <c r="AN18" s="70">
        <f t="shared" si="14"/>
        <v>717787.38764044945</v>
      </c>
      <c r="AO18" s="70">
        <f t="shared" si="19"/>
        <v>178</v>
      </c>
      <c r="AP18" s="70">
        <f t="shared" si="19"/>
        <v>127766155</v>
      </c>
      <c r="AQ18" s="70">
        <f t="shared" si="15"/>
        <v>755945.39805825241</v>
      </c>
      <c r="AR18" s="70">
        <v>103</v>
      </c>
      <c r="AS18" s="70">
        <v>77862376</v>
      </c>
      <c r="AT18" s="70">
        <f t="shared" si="16"/>
        <v>665383.72</v>
      </c>
      <c r="AU18" s="70">
        <v>75</v>
      </c>
      <c r="AV18" s="71">
        <v>49903779</v>
      </c>
    </row>
    <row r="19" spans="1:48" ht="24" customHeight="1">
      <c r="A19" s="172"/>
      <c r="B19" s="122"/>
      <c r="C19" s="69" t="s">
        <v>84</v>
      </c>
      <c r="D19" s="70">
        <f t="shared" si="0"/>
        <v>1319964.5</v>
      </c>
      <c r="E19" s="70">
        <f t="shared" si="17"/>
        <v>944</v>
      </c>
      <c r="F19" s="70">
        <f t="shared" si="17"/>
        <v>1246046488</v>
      </c>
      <c r="G19" s="70">
        <f t="shared" si="6"/>
        <v>1317106.4338521401</v>
      </c>
      <c r="H19" s="70">
        <v>514</v>
      </c>
      <c r="I19" s="70">
        <v>676992707</v>
      </c>
      <c r="J19" s="70">
        <f t="shared" si="2"/>
        <v>1323380.8860465116</v>
      </c>
      <c r="K19" s="70">
        <v>430</v>
      </c>
      <c r="L19" s="71">
        <v>569053781</v>
      </c>
      <c r="M19" s="172"/>
      <c r="N19" s="122"/>
      <c r="O19" s="69" t="s">
        <v>84</v>
      </c>
      <c r="P19" s="70">
        <f t="shared" si="7"/>
        <v>16969.453024997481</v>
      </c>
      <c r="Q19" s="70">
        <v>12528.33</v>
      </c>
      <c r="R19" s="70">
        <f t="shared" si="8"/>
        <v>2551186889</v>
      </c>
      <c r="S19" s="70">
        <f t="shared" si="9"/>
        <v>18141.362238844675</v>
      </c>
      <c r="T19" s="70">
        <v>5810.08</v>
      </c>
      <c r="U19" s="70">
        <v>1264833191</v>
      </c>
      <c r="V19" s="72">
        <f t="shared" si="10"/>
        <v>15955.961969262828</v>
      </c>
      <c r="W19" s="70">
        <v>6718.25</v>
      </c>
      <c r="X19" s="71">
        <v>1286353698</v>
      </c>
      <c r="Y19" s="172"/>
      <c r="Z19" s="122"/>
      <c r="AA19" s="69" t="s">
        <v>84</v>
      </c>
      <c r="AB19" s="70">
        <f t="shared" si="11"/>
        <v>95213.252066115703</v>
      </c>
      <c r="AC19" s="70">
        <f t="shared" si="18"/>
        <v>242</v>
      </c>
      <c r="AD19" s="70">
        <f t="shared" si="18"/>
        <v>23041607</v>
      </c>
      <c r="AE19" s="70">
        <f t="shared" si="12"/>
        <v>97454.577777777784</v>
      </c>
      <c r="AF19" s="70">
        <v>135</v>
      </c>
      <c r="AG19" s="70">
        <v>13156368</v>
      </c>
      <c r="AH19" s="70">
        <f t="shared" si="13"/>
        <v>92385.411214953274</v>
      </c>
      <c r="AI19" s="70">
        <v>107</v>
      </c>
      <c r="AJ19" s="71">
        <v>9885239</v>
      </c>
      <c r="AK19" s="172"/>
      <c r="AL19" s="122"/>
      <c r="AM19" s="69" t="s">
        <v>84</v>
      </c>
      <c r="AN19" s="70">
        <f t="shared" si="14"/>
        <v>880502.94366197183</v>
      </c>
      <c r="AO19" s="70">
        <f t="shared" si="19"/>
        <v>71</v>
      </c>
      <c r="AP19" s="70">
        <f t="shared" si="19"/>
        <v>62515709</v>
      </c>
      <c r="AQ19" s="70">
        <f t="shared" si="15"/>
        <v>889904.92682926834</v>
      </c>
      <c r="AR19" s="70">
        <v>41</v>
      </c>
      <c r="AS19" s="70">
        <v>36486102</v>
      </c>
      <c r="AT19" s="70">
        <f t="shared" si="16"/>
        <v>867653.56666666665</v>
      </c>
      <c r="AU19" s="70">
        <v>30</v>
      </c>
      <c r="AV19" s="71">
        <v>26029607</v>
      </c>
    </row>
    <row r="20" spans="1:48" ht="24" customHeight="1">
      <c r="A20" s="172"/>
      <c r="B20" s="122"/>
      <c r="C20" s="69" t="s">
        <v>85</v>
      </c>
      <c r="D20" s="70">
        <f t="shared" si="0"/>
        <v>1238390.6283261802</v>
      </c>
      <c r="E20" s="70">
        <f t="shared" si="17"/>
        <v>2330</v>
      </c>
      <c r="F20" s="70">
        <f t="shared" si="17"/>
        <v>2885450164</v>
      </c>
      <c r="G20" s="70">
        <f t="shared" si="6"/>
        <v>1251529.753610875</v>
      </c>
      <c r="H20" s="70">
        <v>1177</v>
      </c>
      <c r="I20" s="70">
        <v>1473050520</v>
      </c>
      <c r="J20" s="70">
        <f t="shared" si="2"/>
        <v>1224978.0086730269</v>
      </c>
      <c r="K20" s="70">
        <v>1153</v>
      </c>
      <c r="L20" s="71">
        <v>1412399644</v>
      </c>
      <c r="M20" s="172"/>
      <c r="N20" s="122"/>
      <c r="O20" s="69" t="s">
        <v>85</v>
      </c>
      <c r="P20" s="70">
        <f t="shared" si="7"/>
        <v>16261.68764646718</v>
      </c>
      <c r="Q20" s="70">
        <v>32892.75</v>
      </c>
      <c r="R20" s="70">
        <f t="shared" si="8"/>
        <v>6418699516</v>
      </c>
      <c r="S20" s="70">
        <f t="shared" si="9"/>
        <v>17301.015950614012</v>
      </c>
      <c r="T20" s="70">
        <v>13729.67</v>
      </c>
      <c r="U20" s="70">
        <v>2850446876</v>
      </c>
      <c r="V20" s="72">
        <f t="shared" si="10"/>
        <v>15517.045624537737</v>
      </c>
      <c r="W20" s="70">
        <v>19163.080000000002</v>
      </c>
      <c r="X20" s="71">
        <v>3568252640</v>
      </c>
      <c r="Y20" s="172"/>
      <c r="Z20" s="122"/>
      <c r="AA20" s="69" t="s">
        <v>85</v>
      </c>
      <c r="AB20" s="70">
        <f t="shared" si="11"/>
        <v>111521.7453798768</v>
      </c>
      <c r="AC20" s="70">
        <f t="shared" si="18"/>
        <v>487</v>
      </c>
      <c r="AD20" s="70">
        <f t="shared" si="18"/>
        <v>54311090</v>
      </c>
      <c r="AE20" s="70">
        <f t="shared" si="12"/>
        <v>132657.85490196079</v>
      </c>
      <c r="AF20" s="70">
        <v>255</v>
      </c>
      <c r="AG20" s="70">
        <v>33827753</v>
      </c>
      <c r="AH20" s="70">
        <f t="shared" si="13"/>
        <v>88290.245689655174</v>
      </c>
      <c r="AI20" s="70">
        <v>232</v>
      </c>
      <c r="AJ20" s="71">
        <v>20483337</v>
      </c>
      <c r="AK20" s="172"/>
      <c r="AL20" s="122"/>
      <c r="AM20" s="69" t="s">
        <v>85</v>
      </c>
      <c r="AN20" s="70">
        <f t="shared" si="14"/>
        <v>729806.59649122809</v>
      </c>
      <c r="AO20" s="70">
        <f t="shared" si="19"/>
        <v>171</v>
      </c>
      <c r="AP20" s="70">
        <f t="shared" si="19"/>
        <v>124796928</v>
      </c>
      <c r="AQ20" s="70">
        <f t="shared" si="15"/>
        <v>755286.97701149422</v>
      </c>
      <c r="AR20" s="70">
        <v>87</v>
      </c>
      <c r="AS20" s="70">
        <v>65709967</v>
      </c>
      <c r="AT20" s="70">
        <f t="shared" si="16"/>
        <v>703416.20238095243</v>
      </c>
      <c r="AU20" s="70">
        <v>84</v>
      </c>
      <c r="AV20" s="71">
        <v>59086961</v>
      </c>
    </row>
    <row r="21" spans="1:48" ht="24" customHeight="1">
      <c r="A21" s="172"/>
      <c r="B21" s="122"/>
      <c r="C21" s="69" t="s">
        <v>86</v>
      </c>
      <c r="D21" s="70">
        <f t="shared" si="0"/>
        <v>1067652.7855917667</v>
      </c>
      <c r="E21" s="70">
        <f t="shared" si="17"/>
        <v>583</v>
      </c>
      <c r="F21" s="70">
        <f t="shared" si="17"/>
        <v>622441574</v>
      </c>
      <c r="G21" s="70">
        <f t="shared" si="6"/>
        <v>1061969.0476190476</v>
      </c>
      <c r="H21" s="70">
        <v>294</v>
      </c>
      <c r="I21" s="70">
        <v>312218900</v>
      </c>
      <c r="J21" s="70">
        <f t="shared" si="2"/>
        <v>1073434.8581314879</v>
      </c>
      <c r="K21" s="70">
        <v>289</v>
      </c>
      <c r="L21" s="71">
        <v>310222674</v>
      </c>
      <c r="M21" s="172"/>
      <c r="N21" s="122"/>
      <c r="O21" s="69" t="s">
        <v>86</v>
      </c>
      <c r="P21" s="70">
        <f t="shared" si="7"/>
        <v>16515.581990668594</v>
      </c>
      <c r="Q21" s="70">
        <v>7745.17</v>
      </c>
      <c r="R21" s="70">
        <f t="shared" si="8"/>
        <v>1534991882</v>
      </c>
      <c r="S21" s="70">
        <f t="shared" si="9"/>
        <v>17547.352834392277</v>
      </c>
      <c r="T21" s="70">
        <v>3029.75</v>
      </c>
      <c r="U21" s="70">
        <v>637969107</v>
      </c>
      <c r="V21" s="72">
        <f t="shared" si="10"/>
        <v>15852.648951030167</v>
      </c>
      <c r="W21" s="70">
        <v>4715.42</v>
      </c>
      <c r="X21" s="71">
        <v>897022775</v>
      </c>
      <c r="Y21" s="172"/>
      <c r="Z21" s="122"/>
      <c r="AA21" s="69" t="s">
        <v>86</v>
      </c>
      <c r="AB21" s="70">
        <f t="shared" si="11"/>
        <v>119574.01257861636</v>
      </c>
      <c r="AC21" s="70">
        <f t="shared" si="18"/>
        <v>159</v>
      </c>
      <c r="AD21" s="70">
        <f t="shared" si="18"/>
        <v>19012268</v>
      </c>
      <c r="AE21" s="70">
        <f t="shared" si="12"/>
        <v>138429.34343434343</v>
      </c>
      <c r="AF21" s="70">
        <v>99</v>
      </c>
      <c r="AG21" s="70">
        <v>13704505</v>
      </c>
      <c r="AH21" s="70">
        <f t="shared" si="13"/>
        <v>88462.71666666666</v>
      </c>
      <c r="AI21" s="70">
        <v>60</v>
      </c>
      <c r="AJ21" s="71">
        <v>5307763</v>
      </c>
      <c r="AK21" s="172"/>
      <c r="AL21" s="122"/>
      <c r="AM21" s="69" t="s">
        <v>86</v>
      </c>
      <c r="AN21" s="70">
        <f t="shared" si="14"/>
        <v>725902.9444444445</v>
      </c>
      <c r="AO21" s="70">
        <f t="shared" si="19"/>
        <v>36</v>
      </c>
      <c r="AP21" s="70">
        <f t="shared" si="19"/>
        <v>26132506</v>
      </c>
      <c r="AQ21" s="70">
        <f t="shared" si="15"/>
        <v>755759.61111111112</v>
      </c>
      <c r="AR21" s="70">
        <v>18</v>
      </c>
      <c r="AS21" s="70">
        <v>13603673</v>
      </c>
      <c r="AT21" s="70">
        <f t="shared" si="16"/>
        <v>696046.27777777775</v>
      </c>
      <c r="AU21" s="70">
        <v>18</v>
      </c>
      <c r="AV21" s="71">
        <v>12528833</v>
      </c>
    </row>
    <row r="22" spans="1:48" ht="24" customHeight="1">
      <c r="A22" s="172"/>
      <c r="B22" s="122"/>
      <c r="C22" s="69" t="s">
        <v>87</v>
      </c>
      <c r="D22" s="70">
        <f t="shared" si="0"/>
        <v>1263862.534064213</v>
      </c>
      <c r="E22" s="70">
        <f t="shared" si="17"/>
        <v>1277</v>
      </c>
      <c r="F22" s="70">
        <f t="shared" si="17"/>
        <v>1613952456</v>
      </c>
      <c r="G22" s="70">
        <f t="shared" si="6"/>
        <v>1259327.4705882352</v>
      </c>
      <c r="H22" s="70">
        <v>595</v>
      </c>
      <c r="I22" s="70">
        <v>749299845</v>
      </c>
      <c r="J22" s="70">
        <f t="shared" si="2"/>
        <v>1267819.0777126099</v>
      </c>
      <c r="K22" s="70">
        <v>682</v>
      </c>
      <c r="L22" s="71">
        <v>864652611</v>
      </c>
      <c r="M22" s="172"/>
      <c r="N22" s="122"/>
      <c r="O22" s="69" t="s">
        <v>87</v>
      </c>
      <c r="P22" s="70">
        <f t="shared" si="7"/>
        <v>18023.105865216621</v>
      </c>
      <c r="Q22" s="70">
        <v>17932.330000000002</v>
      </c>
      <c r="R22" s="70">
        <f t="shared" si="8"/>
        <v>3878355384</v>
      </c>
      <c r="S22" s="70">
        <f t="shared" si="9"/>
        <v>19332.587609380469</v>
      </c>
      <c r="T22" s="70">
        <v>7142.5</v>
      </c>
      <c r="U22" s="70">
        <v>1656996084</v>
      </c>
      <c r="V22" s="72">
        <f t="shared" si="10"/>
        <v>17156.273546478489</v>
      </c>
      <c r="W22" s="70">
        <v>10789.83</v>
      </c>
      <c r="X22" s="71">
        <v>2221359300</v>
      </c>
      <c r="Y22" s="172"/>
      <c r="Z22" s="122"/>
      <c r="AA22" s="69" t="s">
        <v>87</v>
      </c>
      <c r="AB22" s="70">
        <f t="shared" si="11"/>
        <v>122583.34426229508</v>
      </c>
      <c r="AC22" s="70">
        <f t="shared" si="18"/>
        <v>244</v>
      </c>
      <c r="AD22" s="70">
        <f t="shared" si="18"/>
        <v>29910336</v>
      </c>
      <c r="AE22" s="70">
        <f t="shared" si="12"/>
        <v>133134.81343283583</v>
      </c>
      <c r="AF22" s="70">
        <v>134</v>
      </c>
      <c r="AG22" s="70">
        <v>17840065</v>
      </c>
      <c r="AH22" s="70">
        <f t="shared" si="13"/>
        <v>109729.73636363636</v>
      </c>
      <c r="AI22" s="70">
        <v>110</v>
      </c>
      <c r="AJ22" s="71">
        <v>12070271</v>
      </c>
      <c r="AK22" s="172"/>
      <c r="AL22" s="122"/>
      <c r="AM22" s="69" t="s">
        <v>87</v>
      </c>
      <c r="AN22" s="70">
        <f t="shared" si="14"/>
        <v>732215.65</v>
      </c>
      <c r="AO22" s="70">
        <f t="shared" si="19"/>
        <v>80</v>
      </c>
      <c r="AP22" s="70">
        <f t="shared" si="19"/>
        <v>58577252</v>
      </c>
      <c r="AQ22" s="70">
        <f t="shared" si="15"/>
        <v>764508.95744680846</v>
      </c>
      <c r="AR22" s="70">
        <v>47</v>
      </c>
      <c r="AS22" s="70">
        <v>35931921</v>
      </c>
      <c r="AT22" s="70">
        <f t="shared" si="16"/>
        <v>686222.15151515149</v>
      </c>
      <c r="AU22" s="70">
        <v>33</v>
      </c>
      <c r="AV22" s="71">
        <v>22645331</v>
      </c>
    </row>
    <row r="23" spans="1:48" ht="24" customHeight="1">
      <c r="A23" s="172"/>
      <c r="B23" s="122"/>
      <c r="C23" s="69" t="s">
        <v>88</v>
      </c>
      <c r="D23" s="70">
        <f t="shared" si="0"/>
        <v>1412014.4324324324</v>
      </c>
      <c r="E23" s="70">
        <f t="shared" si="17"/>
        <v>370</v>
      </c>
      <c r="F23" s="70">
        <f t="shared" si="17"/>
        <v>522445340</v>
      </c>
      <c r="G23" s="70">
        <f t="shared" si="6"/>
        <v>1391163.2264150945</v>
      </c>
      <c r="H23" s="70">
        <v>212</v>
      </c>
      <c r="I23" s="70">
        <v>294926604</v>
      </c>
      <c r="J23" s="70">
        <f t="shared" si="2"/>
        <v>1439992</v>
      </c>
      <c r="K23" s="70">
        <v>158</v>
      </c>
      <c r="L23" s="71">
        <v>227518736</v>
      </c>
      <c r="M23" s="172"/>
      <c r="N23" s="122"/>
      <c r="O23" s="69" t="s">
        <v>88</v>
      </c>
      <c r="P23" s="70">
        <f t="shared" si="7"/>
        <v>17513.96337370123</v>
      </c>
      <c r="Q23" s="70">
        <v>4449.08</v>
      </c>
      <c r="R23" s="70">
        <f t="shared" si="8"/>
        <v>935052290</v>
      </c>
      <c r="S23" s="70">
        <f t="shared" si="9"/>
        <v>18466.601524390244</v>
      </c>
      <c r="T23" s="70">
        <v>1640</v>
      </c>
      <c r="U23" s="70">
        <v>363422718</v>
      </c>
      <c r="V23" s="72">
        <f t="shared" si="10"/>
        <v>16957.79318021084</v>
      </c>
      <c r="W23" s="70">
        <v>2809.08</v>
      </c>
      <c r="X23" s="71">
        <v>571629572</v>
      </c>
      <c r="Y23" s="172"/>
      <c r="Z23" s="122"/>
      <c r="AA23" s="69" t="s">
        <v>88</v>
      </c>
      <c r="AB23" s="70">
        <f t="shared" si="11"/>
        <v>128222</v>
      </c>
      <c r="AC23" s="70">
        <f t="shared" si="18"/>
        <v>28</v>
      </c>
      <c r="AD23" s="70">
        <f t="shared" si="18"/>
        <v>3590216</v>
      </c>
      <c r="AE23" s="70">
        <f t="shared" si="12"/>
        <v>165967.84615384616</v>
      </c>
      <c r="AF23" s="70">
        <v>13</v>
      </c>
      <c r="AG23" s="70">
        <v>2157582</v>
      </c>
      <c r="AH23" s="70">
        <f t="shared" si="13"/>
        <v>95508.933333333334</v>
      </c>
      <c r="AI23" s="70">
        <v>15</v>
      </c>
      <c r="AJ23" s="71">
        <v>1432634</v>
      </c>
      <c r="AK23" s="172"/>
      <c r="AL23" s="122"/>
      <c r="AM23" s="69" t="s">
        <v>88</v>
      </c>
      <c r="AN23" s="70">
        <f t="shared" si="14"/>
        <v>952923.31578947371</v>
      </c>
      <c r="AO23" s="70">
        <f t="shared" si="19"/>
        <v>19</v>
      </c>
      <c r="AP23" s="70">
        <f t="shared" si="19"/>
        <v>18105543</v>
      </c>
      <c r="AQ23" s="70">
        <f t="shared" si="15"/>
        <v>959075</v>
      </c>
      <c r="AR23" s="70">
        <v>11</v>
      </c>
      <c r="AS23" s="70">
        <v>10549825</v>
      </c>
      <c r="AT23" s="70">
        <f t="shared" si="16"/>
        <v>944464.75</v>
      </c>
      <c r="AU23" s="70">
        <v>8</v>
      </c>
      <c r="AV23" s="71">
        <v>7555718</v>
      </c>
    </row>
    <row r="24" spans="1:48" ht="24" customHeight="1">
      <c r="A24" s="172"/>
      <c r="B24" s="122"/>
      <c r="C24" s="69" t="s">
        <v>89</v>
      </c>
      <c r="D24" s="70">
        <f t="shared" si="0"/>
        <v>1497665.2219979819</v>
      </c>
      <c r="E24" s="70">
        <f t="shared" si="17"/>
        <v>1982</v>
      </c>
      <c r="F24" s="70">
        <f t="shared" si="17"/>
        <v>2968372470</v>
      </c>
      <c r="G24" s="70">
        <f t="shared" si="6"/>
        <v>1461984.0996978851</v>
      </c>
      <c r="H24" s="70">
        <v>993</v>
      </c>
      <c r="I24" s="70">
        <v>1451750211</v>
      </c>
      <c r="J24" s="70">
        <f t="shared" si="2"/>
        <v>1533490.6562184023</v>
      </c>
      <c r="K24" s="70">
        <v>989</v>
      </c>
      <c r="L24" s="71">
        <v>1516622259</v>
      </c>
      <c r="M24" s="172"/>
      <c r="N24" s="122"/>
      <c r="O24" s="69" t="s">
        <v>89</v>
      </c>
      <c r="P24" s="70">
        <f t="shared" si="7"/>
        <v>19029.608035416768</v>
      </c>
      <c r="Q24" s="70">
        <v>26258.75</v>
      </c>
      <c r="R24" s="70">
        <f t="shared" si="8"/>
        <v>5996324640</v>
      </c>
      <c r="S24" s="70">
        <f t="shared" si="9"/>
        <v>19971.570315389738</v>
      </c>
      <c r="T24" s="70">
        <v>10138.25</v>
      </c>
      <c r="U24" s="70">
        <v>2429721273</v>
      </c>
      <c r="V24" s="72">
        <f t="shared" si="10"/>
        <v>18437.204010421512</v>
      </c>
      <c r="W24" s="70">
        <v>16120.5</v>
      </c>
      <c r="X24" s="71">
        <v>3566603367</v>
      </c>
      <c r="Y24" s="172"/>
      <c r="Z24" s="122"/>
      <c r="AA24" s="69" t="s">
        <v>89</v>
      </c>
      <c r="AB24" s="70">
        <f t="shared" si="11"/>
        <v>121461.35648148147</v>
      </c>
      <c r="AC24" s="70">
        <f t="shared" si="18"/>
        <v>216</v>
      </c>
      <c r="AD24" s="70">
        <f t="shared" si="18"/>
        <v>26235653</v>
      </c>
      <c r="AE24" s="70">
        <f t="shared" si="12"/>
        <v>136468.31067961166</v>
      </c>
      <c r="AF24" s="70">
        <v>103</v>
      </c>
      <c r="AG24" s="70">
        <v>14056236</v>
      </c>
      <c r="AH24" s="70">
        <f t="shared" si="13"/>
        <v>107782.45132743364</v>
      </c>
      <c r="AI24" s="70">
        <v>113</v>
      </c>
      <c r="AJ24" s="71">
        <v>12179417</v>
      </c>
      <c r="AK24" s="172"/>
      <c r="AL24" s="122"/>
      <c r="AM24" s="69" t="s">
        <v>89</v>
      </c>
      <c r="AN24" s="70">
        <f t="shared" si="14"/>
        <v>836543.59649122809</v>
      </c>
      <c r="AO24" s="70">
        <f t="shared" si="19"/>
        <v>114</v>
      </c>
      <c r="AP24" s="70">
        <f t="shared" si="19"/>
        <v>95365970</v>
      </c>
      <c r="AQ24" s="70">
        <f t="shared" si="15"/>
        <v>917139.4615384615</v>
      </c>
      <c r="AR24" s="70">
        <v>52</v>
      </c>
      <c r="AS24" s="70">
        <v>47691252</v>
      </c>
      <c r="AT24" s="70">
        <f t="shared" si="16"/>
        <v>768947.06451612909</v>
      </c>
      <c r="AU24" s="70">
        <v>62</v>
      </c>
      <c r="AV24" s="71">
        <v>47674718</v>
      </c>
    </row>
    <row r="25" spans="1:48" ht="24" customHeight="1">
      <c r="A25" s="172"/>
      <c r="B25" s="122"/>
      <c r="C25" s="69" t="s">
        <v>90</v>
      </c>
      <c r="D25" s="70">
        <f t="shared" si="0"/>
        <v>1434543.7675276753</v>
      </c>
      <c r="E25" s="70">
        <f t="shared" si="17"/>
        <v>1897</v>
      </c>
      <c r="F25" s="70">
        <f t="shared" si="17"/>
        <v>2721329527</v>
      </c>
      <c r="G25" s="70">
        <f t="shared" si="6"/>
        <v>1425985.9576547232</v>
      </c>
      <c r="H25" s="70">
        <v>921</v>
      </c>
      <c r="I25" s="70">
        <v>1313333067</v>
      </c>
      <c r="J25" s="70">
        <f t="shared" si="2"/>
        <v>1442619.3237704919</v>
      </c>
      <c r="K25" s="70">
        <v>976</v>
      </c>
      <c r="L25" s="71">
        <v>1407996460</v>
      </c>
      <c r="M25" s="172"/>
      <c r="N25" s="122"/>
      <c r="O25" s="69" t="s">
        <v>90</v>
      </c>
      <c r="P25" s="70">
        <f t="shared" si="7"/>
        <v>17771.943934776009</v>
      </c>
      <c r="Q25" s="70">
        <v>22274.83</v>
      </c>
      <c r="R25" s="70">
        <f t="shared" si="8"/>
        <v>4750404359</v>
      </c>
      <c r="S25" s="70">
        <f t="shared" si="9"/>
        <v>18640.677983204907</v>
      </c>
      <c r="T25" s="70">
        <v>10405.42</v>
      </c>
      <c r="U25" s="70">
        <v>2327569002</v>
      </c>
      <c r="V25" s="72">
        <f t="shared" si="10"/>
        <v>17010.346454727078</v>
      </c>
      <c r="W25" s="70">
        <v>11869.42</v>
      </c>
      <c r="X25" s="71">
        <v>2422835357</v>
      </c>
      <c r="Y25" s="172"/>
      <c r="Z25" s="122"/>
      <c r="AA25" s="69" t="s">
        <v>90</v>
      </c>
      <c r="AB25" s="70">
        <f t="shared" si="11"/>
        <v>132071.35313531352</v>
      </c>
      <c r="AC25" s="70">
        <f t="shared" si="18"/>
        <v>303</v>
      </c>
      <c r="AD25" s="70">
        <f t="shared" si="18"/>
        <v>40017620</v>
      </c>
      <c r="AE25" s="70">
        <f t="shared" si="12"/>
        <v>158889.64516129033</v>
      </c>
      <c r="AF25" s="70">
        <v>155</v>
      </c>
      <c r="AG25" s="70">
        <v>24627895</v>
      </c>
      <c r="AH25" s="70">
        <f t="shared" si="13"/>
        <v>103984.62837837837</v>
      </c>
      <c r="AI25" s="70">
        <v>148</v>
      </c>
      <c r="AJ25" s="71">
        <v>15389725</v>
      </c>
      <c r="AK25" s="172"/>
      <c r="AL25" s="122"/>
      <c r="AM25" s="69" t="s">
        <v>90</v>
      </c>
      <c r="AN25" s="70">
        <f t="shared" si="14"/>
        <v>700301.98571428575</v>
      </c>
      <c r="AO25" s="70">
        <f t="shared" si="19"/>
        <v>70</v>
      </c>
      <c r="AP25" s="70">
        <f t="shared" si="19"/>
        <v>49021139</v>
      </c>
      <c r="AQ25" s="70">
        <f t="shared" si="15"/>
        <v>652469.8823529412</v>
      </c>
      <c r="AR25" s="70">
        <v>34</v>
      </c>
      <c r="AS25" s="70">
        <v>22183976</v>
      </c>
      <c r="AT25" s="70">
        <f t="shared" si="16"/>
        <v>745476.75</v>
      </c>
      <c r="AU25" s="70">
        <v>36</v>
      </c>
      <c r="AV25" s="71">
        <v>26837163</v>
      </c>
    </row>
    <row r="26" spans="1:48" ht="24" customHeight="1">
      <c r="A26" s="172"/>
      <c r="B26" s="122"/>
      <c r="C26" s="69" t="s">
        <v>91</v>
      </c>
      <c r="D26" s="70">
        <f t="shared" si="0"/>
        <v>1416848.04</v>
      </c>
      <c r="E26" s="70">
        <f t="shared" si="17"/>
        <v>1350</v>
      </c>
      <c r="F26" s="70">
        <f t="shared" si="17"/>
        <v>1912744854</v>
      </c>
      <c r="G26" s="70">
        <f t="shared" si="6"/>
        <v>1385859.4758308157</v>
      </c>
      <c r="H26" s="70">
        <v>662</v>
      </c>
      <c r="I26" s="70">
        <v>917438973</v>
      </c>
      <c r="J26" s="70">
        <f t="shared" si="2"/>
        <v>1446665.5247093022</v>
      </c>
      <c r="K26" s="70">
        <v>688</v>
      </c>
      <c r="L26" s="71">
        <v>995305881</v>
      </c>
      <c r="M26" s="172"/>
      <c r="N26" s="122"/>
      <c r="O26" s="69" t="s">
        <v>91</v>
      </c>
      <c r="P26" s="70">
        <f t="shared" si="7"/>
        <v>17303.386481275098</v>
      </c>
      <c r="Q26" s="70">
        <v>23553.75</v>
      </c>
      <c r="R26" s="70">
        <f t="shared" si="8"/>
        <v>4890715672</v>
      </c>
      <c r="S26" s="70">
        <f t="shared" si="9"/>
        <v>18033.493511755925</v>
      </c>
      <c r="T26" s="70">
        <v>10110.08</v>
      </c>
      <c r="U26" s="70">
        <v>2187840745</v>
      </c>
      <c r="V26" s="72">
        <f t="shared" si="10"/>
        <v>16754.322089875754</v>
      </c>
      <c r="W26" s="70">
        <v>13443.67</v>
      </c>
      <c r="X26" s="71">
        <v>2702874927</v>
      </c>
      <c r="Y26" s="172"/>
      <c r="Z26" s="122"/>
      <c r="AA26" s="69" t="s">
        <v>91</v>
      </c>
      <c r="AB26" s="70">
        <f t="shared" si="11"/>
        <v>103613.02348993288</v>
      </c>
      <c r="AC26" s="70">
        <f t="shared" si="18"/>
        <v>298</v>
      </c>
      <c r="AD26" s="70">
        <f t="shared" si="18"/>
        <v>30876681</v>
      </c>
      <c r="AE26" s="70">
        <f t="shared" si="12"/>
        <v>132096.5786163522</v>
      </c>
      <c r="AF26" s="70">
        <v>159</v>
      </c>
      <c r="AG26" s="70">
        <v>21003356</v>
      </c>
      <c r="AH26" s="70">
        <f t="shared" si="13"/>
        <v>71031.115107913676</v>
      </c>
      <c r="AI26" s="70">
        <v>139</v>
      </c>
      <c r="AJ26" s="71">
        <v>9873325</v>
      </c>
      <c r="AK26" s="172"/>
      <c r="AL26" s="122"/>
      <c r="AM26" s="69" t="s">
        <v>91</v>
      </c>
      <c r="AN26" s="70">
        <f t="shared" si="14"/>
        <v>751754.1875</v>
      </c>
      <c r="AO26" s="70">
        <f t="shared" si="19"/>
        <v>112</v>
      </c>
      <c r="AP26" s="70">
        <f t="shared" si="19"/>
        <v>84196469</v>
      </c>
      <c r="AQ26" s="70">
        <f t="shared" si="15"/>
        <v>703692.35714285716</v>
      </c>
      <c r="AR26" s="70">
        <v>70</v>
      </c>
      <c r="AS26" s="70">
        <v>49258465</v>
      </c>
      <c r="AT26" s="70">
        <f t="shared" si="16"/>
        <v>831857.23809523811</v>
      </c>
      <c r="AU26" s="70">
        <v>42</v>
      </c>
      <c r="AV26" s="71">
        <v>34938004</v>
      </c>
    </row>
    <row r="27" spans="1:48" ht="24" customHeight="1">
      <c r="A27" s="172"/>
      <c r="B27" s="122"/>
      <c r="C27" s="69" t="s">
        <v>92</v>
      </c>
      <c r="D27" s="70">
        <f t="shared" si="0"/>
        <v>1245372.5777777778</v>
      </c>
      <c r="E27" s="70">
        <f t="shared" si="17"/>
        <v>135</v>
      </c>
      <c r="F27" s="70">
        <f t="shared" si="17"/>
        <v>168125298</v>
      </c>
      <c r="G27" s="70">
        <f t="shared" si="6"/>
        <v>1336210.2117647058</v>
      </c>
      <c r="H27" s="70">
        <v>85</v>
      </c>
      <c r="I27" s="70">
        <v>113577868</v>
      </c>
      <c r="J27" s="70">
        <f t="shared" si="2"/>
        <v>1090948.6000000001</v>
      </c>
      <c r="K27" s="70">
        <v>50</v>
      </c>
      <c r="L27" s="71">
        <v>54547430</v>
      </c>
      <c r="M27" s="172"/>
      <c r="N27" s="122"/>
      <c r="O27" s="69" t="s">
        <v>92</v>
      </c>
      <c r="P27" s="70">
        <f t="shared" si="7"/>
        <v>19103.037634841843</v>
      </c>
      <c r="Q27" s="70">
        <v>2481.92</v>
      </c>
      <c r="R27" s="70">
        <f t="shared" si="8"/>
        <v>568946534</v>
      </c>
      <c r="S27" s="70">
        <f t="shared" si="9"/>
        <v>22000.706702957938</v>
      </c>
      <c r="T27" s="70">
        <v>1006.67</v>
      </c>
      <c r="U27" s="70">
        <v>265769417</v>
      </c>
      <c r="V27" s="72">
        <f t="shared" si="10"/>
        <v>17125.748008812065</v>
      </c>
      <c r="W27" s="70">
        <v>1475.25</v>
      </c>
      <c r="X27" s="71">
        <v>303177117</v>
      </c>
      <c r="Y27" s="172"/>
      <c r="Z27" s="122"/>
      <c r="AA27" s="69" t="s">
        <v>92</v>
      </c>
      <c r="AB27" s="70">
        <f t="shared" si="11"/>
        <v>147552.4375</v>
      </c>
      <c r="AC27" s="70">
        <f t="shared" si="18"/>
        <v>16</v>
      </c>
      <c r="AD27" s="70">
        <f t="shared" si="18"/>
        <v>2360839</v>
      </c>
      <c r="AE27" s="70">
        <f t="shared" si="12"/>
        <v>159912.75</v>
      </c>
      <c r="AF27" s="70">
        <v>8</v>
      </c>
      <c r="AG27" s="70">
        <v>1279302</v>
      </c>
      <c r="AH27" s="70">
        <f t="shared" si="13"/>
        <v>135192.125</v>
      </c>
      <c r="AI27" s="70">
        <v>8</v>
      </c>
      <c r="AJ27" s="71">
        <v>1081537</v>
      </c>
      <c r="AK27" s="172"/>
      <c r="AL27" s="122"/>
      <c r="AM27" s="69" t="s">
        <v>92</v>
      </c>
      <c r="AN27" s="70">
        <f t="shared" si="14"/>
        <v>869763</v>
      </c>
      <c r="AO27" s="70">
        <f t="shared" si="19"/>
        <v>11</v>
      </c>
      <c r="AP27" s="70">
        <f t="shared" si="19"/>
        <v>9567393</v>
      </c>
      <c r="AQ27" s="70">
        <f t="shared" si="15"/>
        <v>1179287</v>
      </c>
      <c r="AR27" s="70">
        <v>4</v>
      </c>
      <c r="AS27" s="70">
        <v>4717148</v>
      </c>
      <c r="AT27" s="70">
        <f t="shared" si="16"/>
        <v>692892.14285714284</v>
      </c>
      <c r="AU27" s="70">
        <v>7</v>
      </c>
      <c r="AV27" s="71">
        <v>4850245</v>
      </c>
    </row>
    <row r="28" spans="1:48" ht="24" customHeight="1">
      <c r="A28" s="173"/>
      <c r="B28" s="123"/>
      <c r="C28" s="69" t="s">
        <v>93</v>
      </c>
      <c r="D28" s="70">
        <f t="shared" si="0"/>
        <v>661468.85714285716</v>
      </c>
      <c r="E28" s="70">
        <f t="shared" si="17"/>
        <v>14</v>
      </c>
      <c r="F28" s="70">
        <f t="shared" si="17"/>
        <v>9260564</v>
      </c>
      <c r="G28" s="70">
        <f t="shared" si="6"/>
        <v>773723.6</v>
      </c>
      <c r="H28" s="70">
        <v>5</v>
      </c>
      <c r="I28" s="70">
        <v>3868618</v>
      </c>
      <c r="J28" s="70">
        <f t="shared" si="2"/>
        <v>599105.11111111112</v>
      </c>
      <c r="K28" s="70">
        <v>9</v>
      </c>
      <c r="L28" s="71">
        <v>5391946</v>
      </c>
      <c r="M28" s="173"/>
      <c r="N28" s="123"/>
      <c r="O28" s="69" t="s">
        <v>93</v>
      </c>
      <c r="P28" s="70">
        <f t="shared" si="7"/>
        <v>17167.462109384385</v>
      </c>
      <c r="Q28" s="70">
        <v>416.33</v>
      </c>
      <c r="R28" s="70">
        <f t="shared" si="8"/>
        <v>85767954</v>
      </c>
      <c r="S28" s="70">
        <f t="shared" si="9"/>
        <v>18663.103713523513</v>
      </c>
      <c r="T28" s="70">
        <v>203.67</v>
      </c>
      <c r="U28" s="70">
        <v>45613372</v>
      </c>
      <c r="V28" s="72">
        <f t="shared" si="10"/>
        <v>15734.307455995988</v>
      </c>
      <c r="W28" s="70">
        <v>212.67</v>
      </c>
      <c r="X28" s="71">
        <v>40154582</v>
      </c>
      <c r="Y28" s="173"/>
      <c r="Z28" s="123"/>
      <c r="AA28" s="69" t="s">
        <v>93</v>
      </c>
      <c r="AB28" s="70">
        <f t="shared" si="11"/>
        <v>10338</v>
      </c>
      <c r="AC28" s="70">
        <f t="shared" si="18"/>
        <v>2</v>
      </c>
      <c r="AD28" s="70">
        <f t="shared" si="18"/>
        <v>20676</v>
      </c>
      <c r="AE28" s="70">
        <f t="shared" si="12"/>
        <v>10926</v>
      </c>
      <c r="AF28" s="70">
        <v>1</v>
      </c>
      <c r="AG28" s="70">
        <v>10926</v>
      </c>
      <c r="AH28" s="70">
        <f t="shared" si="13"/>
        <v>9750</v>
      </c>
      <c r="AI28" s="70">
        <v>1</v>
      </c>
      <c r="AJ28" s="71">
        <v>9750</v>
      </c>
      <c r="AK28" s="173"/>
      <c r="AL28" s="123"/>
      <c r="AM28" s="69" t="s">
        <v>93</v>
      </c>
      <c r="AN28" s="70">
        <f t="shared" si="14"/>
        <v>905677</v>
      </c>
      <c r="AO28" s="70">
        <f t="shared" si="19"/>
        <v>2</v>
      </c>
      <c r="AP28" s="70">
        <f t="shared" si="19"/>
        <v>1811354</v>
      </c>
      <c r="AQ28" s="70">
        <f t="shared" si="15"/>
        <v>905677</v>
      </c>
      <c r="AR28" s="70">
        <v>2</v>
      </c>
      <c r="AS28" s="70">
        <v>1811354</v>
      </c>
      <c r="AT28" s="70">
        <v>0</v>
      </c>
      <c r="AU28" s="70">
        <v>0</v>
      </c>
      <c r="AV28" s="71">
        <v>0</v>
      </c>
    </row>
    <row r="29" spans="1:48" ht="28.9" customHeight="1">
      <c r="A29" s="166" t="s">
        <v>145</v>
      </c>
      <c r="B29" s="128" t="s">
        <v>63</v>
      </c>
      <c r="C29" s="63" t="s">
        <v>76</v>
      </c>
      <c r="D29" s="64">
        <f t="shared" si="0"/>
        <v>1359916.0564133234</v>
      </c>
      <c r="E29" s="64">
        <f>SUM(E30:E38)</f>
        <v>81931</v>
      </c>
      <c r="F29" s="64">
        <f>SUM(F30:F38)</f>
        <v>111419282418</v>
      </c>
      <c r="G29" s="64">
        <f t="shared" si="6"/>
        <v>1376947.9618998929</v>
      </c>
      <c r="H29" s="64">
        <f>SUM(H30:H38)</f>
        <v>41076</v>
      </c>
      <c r="I29" s="64">
        <f>SUM(I30:I38)</f>
        <v>56559514483</v>
      </c>
      <c r="J29" s="64">
        <f t="shared" si="2"/>
        <v>1342792.0189695263</v>
      </c>
      <c r="K29" s="64">
        <f>SUM(K30:K38)</f>
        <v>40855</v>
      </c>
      <c r="L29" s="65">
        <f>SUM(L30:L38)</f>
        <v>54859767935</v>
      </c>
      <c r="M29" s="166" t="s">
        <v>146</v>
      </c>
      <c r="N29" s="128" t="s">
        <v>63</v>
      </c>
      <c r="O29" s="63" t="s">
        <v>76</v>
      </c>
      <c r="P29" s="64">
        <f>R29/Q29/12</f>
        <v>17322.039240873204</v>
      </c>
      <c r="Q29" s="64">
        <v>1228134.58</v>
      </c>
      <c r="R29" s="64">
        <f>SUM(R30:R38)</f>
        <v>255285544654</v>
      </c>
      <c r="S29" s="64">
        <f>U29/T29/12</f>
        <v>18487.326053884764</v>
      </c>
      <c r="T29" s="64">
        <v>561891.92000000004</v>
      </c>
      <c r="U29" s="64">
        <f>SUM(U30:U38)</f>
        <v>124654549585</v>
      </c>
      <c r="V29" s="64">
        <f>X29/W29/12</f>
        <v>16339.266075152465</v>
      </c>
      <c r="W29" s="64">
        <v>666242.67000000004</v>
      </c>
      <c r="X29" s="65">
        <f>SUM(X30:X38)</f>
        <v>130630995069</v>
      </c>
      <c r="Y29" s="166" t="s">
        <v>149</v>
      </c>
      <c r="Z29" s="128" t="s">
        <v>63</v>
      </c>
      <c r="AA29" s="63" t="s">
        <v>76</v>
      </c>
      <c r="AB29" s="64">
        <f t="shared" si="11"/>
        <v>111930.10944603468</v>
      </c>
      <c r="AC29" s="64">
        <f>SUM(AC30:AC38)</f>
        <v>23756</v>
      </c>
      <c r="AD29" s="64">
        <f>SUM(AD30:AD38)</f>
        <v>2659011680</v>
      </c>
      <c r="AE29" s="64">
        <f t="shared" si="12"/>
        <v>131621.60951976202</v>
      </c>
      <c r="AF29" s="64">
        <f>SUM(AF30:AF38)</f>
        <v>11765</v>
      </c>
      <c r="AG29" s="64">
        <f>SUM(AG30:AG38)</f>
        <v>1548528236</v>
      </c>
      <c r="AH29" s="64">
        <f t="shared" si="13"/>
        <v>92609.74430823118</v>
      </c>
      <c r="AI29" s="64">
        <f>SUM(AI30:AI38)</f>
        <v>11991</v>
      </c>
      <c r="AJ29" s="65">
        <f>SUM(AJ30:AJ38)</f>
        <v>1110483444</v>
      </c>
      <c r="AK29" s="166" t="s">
        <v>151</v>
      </c>
      <c r="AL29" s="128" t="s">
        <v>63</v>
      </c>
      <c r="AM29" s="63" t="s">
        <v>76</v>
      </c>
      <c r="AN29" s="64">
        <f t="shared" si="14"/>
        <v>758029.70374824619</v>
      </c>
      <c r="AO29" s="64">
        <f>SUM(AO30:AO38)</f>
        <v>4989</v>
      </c>
      <c r="AP29" s="64">
        <f>SUM(AP30:AP38)</f>
        <v>3781810192</v>
      </c>
      <c r="AQ29" s="64">
        <f t="shared" si="15"/>
        <v>779738.60341431387</v>
      </c>
      <c r="AR29" s="64">
        <f>SUM(AR30:AR38)</f>
        <v>3046</v>
      </c>
      <c r="AS29" s="64">
        <f>SUM(AS30:AS38)</f>
        <v>2375083786</v>
      </c>
      <c r="AT29" s="64">
        <f t="shared" si="16"/>
        <v>723997.12094698916</v>
      </c>
      <c r="AU29" s="64">
        <f>SUM(AU30:AU38)</f>
        <v>1943</v>
      </c>
      <c r="AV29" s="65">
        <f>SUM(AV30:AV38)</f>
        <v>1406726406</v>
      </c>
    </row>
    <row r="30" spans="1:48" ht="28.9" customHeight="1">
      <c r="A30" s="167"/>
      <c r="B30" s="129"/>
      <c r="C30" s="76" t="s">
        <v>137</v>
      </c>
      <c r="D30" s="70">
        <v>0</v>
      </c>
      <c r="E30" s="70">
        <f t="shared" ref="E30:F38" si="20">H30+K30</f>
        <v>0</v>
      </c>
      <c r="F30" s="70">
        <f t="shared" si="20"/>
        <v>0</v>
      </c>
      <c r="G30" s="70">
        <v>0</v>
      </c>
      <c r="H30" s="70">
        <v>0</v>
      </c>
      <c r="I30" s="70">
        <v>0</v>
      </c>
      <c r="J30" s="70">
        <v>0</v>
      </c>
      <c r="K30" s="70">
        <v>0</v>
      </c>
      <c r="L30" s="71">
        <v>0</v>
      </c>
      <c r="M30" s="167"/>
      <c r="N30" s="129"/>
      <c r="O30" s="76" t="s">
        <v>137</v>
      </c>
      <c r="P30" s="70">
        <v>0</v>
      </c>
      <c r="Q30" s="70">
        <v>0</v>
      </c>
      <c r="R30" s="70">
        <f t="shared" ref="R30:R38" si="21">U30+X30</f>
        <v>0</v>
      </c>
      <c r="S30" s="70">
        <v>0</v>
      </c>
      <c r="T30" s="70">
        <v>0</v>
      </c>
      <c r="U30" s="70">
        <v>0</v>
      </c>
      <c r="V30" s="70">
        <v>0</v>
      </c>
      <c r="W30" s="70">
        <v>0</v>
      </c>
      <c r="X30" s="71">
        <v>0</v>
      </c>
      <c r="Y30" s="167"/>
      <c r="Z30" s="129"/>
      <c r="AA30" s="76" t="s">
        <v>137</v>
      </c>
      <c r="AB30" s="70">
        <v>0</v>
      </c>
      <c r="AC30" s="70">
        <f t="shared" ref="AC30:AD38" si="22">AF30+AI30</f>
        <v>0</v>
      </c>
      <c r="AD30" s="70">
        <f t="shared" si="22"/>
        <v>0</v>
      </c>
      <c r="AE30" s="70">
        <v>0</v>
      </c>
      <c r="AF30" s="70">
        <v>0</v>
      </c>
      <c r="AG30" s="70">
        <v>0</v>
      </c>
      <c r="AH30" s="70">
        <v>0</v>
      </c>
      <c r="AI30" s="70">
        <v>0</v>
      </c>
      <c r="AJ30" s="71">
        <v>0</v>
      </c>
      <c r="AK30" s="167"/>
      <c r="AL30" s="129"/>
      <c r="AM30" s="76" t="s">
        <v>137</v>
      </c>
      <c r="AN30" s="70">
        <v>0</v>
      </c>
      <c r="AO30" s="70">
        <f t="shared" ref="AO30:AP38" si="23">AR30+AU30</f>
        <v>0</v>
      </c>
      <c r="AP30" s="70">
        <f t="shared" si="23"/>
        <v>0</v>
      </c>
      <c r="AQ30" s="70">
        <v>0</v>
      </c>
      <c r="AR30" s="70">
        <v>0</v>
      </c>
      <c r="AS30" s="70">
        <v>0</v>
      </c>
      <c r="AT30" s="70">
        <v>0</v>
      </c>
      <c r="AU30" s="70">
        <v>0</v>
      </c>
      <c r="AV30" s="71">
        <v>0</v>
      </c>
    </row>
    <row r="31" spans="1:48" ht="28.9" customHeight="1">
      <c r="A31" s="167"/>
      <c r="B31" s="129"/>
      <c r="C31" s="69" t="s">
        <v>112</v>
      </c>
      <c r="D31" s="70">
        <f t="shared" si="0"/>
        <v>842919</v>
      </c>
      <c r="E31" s="70">
        <f t="shared" si="20"/>
        <v>2</v>
      </c>
      <c r="F31" s="70">
        <f t="shared" si="20"/>
        <v>1685838</v>
      </c>
      <c r="G31" s="70">
        <v>0</v>
      </c>
      <c r="H31" s="70">
        <v>0</v>
      </c>
      <c r="I31" s="70">
        <v>0</v>
      </c>
      <c r="J31" s="70">
        <f t="shared" si="2"/>
        <v>842919</v>
      </c>
      <c r="K31" s="70">
        <v>2</v>
      </c>
      <c r="L31" s="71">
        <v>1685838</v>
      </c>
      <c r="M31" s="167"/>
      <c r="N31" s="129"/>
      <c r="O31" s="69" t="s">
        <v>112</v>
      </c>
      <c r="P31" s="70">
        <v>0</v>
      </c>
      <c r="Q31" s="70">
        <v>0</v>
      </c>
      <c r="R31" s="70">
        <f t="shared" si="21"/>
        <v>0</v>
      </c>
      <c r="S31" s="70">
        <v>0</v>
      </c>
      <c r="T31" s="70">
        <v>0</v>
      </c>
      <c r="U31" s="70">
        <v>0</v>
      </c>
      <c r="V31" s="70">
        <v>0</v>
      </c>
      <c r="W31" s="70">
        <v>0</v>
      </c>
      <c r="X31" s="71">
        <v>0</v>
      </c>
      <c r="Y31" s="167"/>
      <c r="Z31" s="129"/>
      <c r="AA31" s="69" t="s">
        <v>112</v>
      </c>
      <c r="AB31" s="70">
        <v>0</v>
      </c>
      <c r="AC31" s="70">
        <f t="shared" si="22"/>
        <v>0</v>
      </c>
      <c r="AD31" s="70">
        <f t="shared" si="22"/>
        <v>0</v>
      </c>
      <c r="AE31" s="70">
        <v>0</v>
      </c>
      <c r="AF31" s="70">
        <v>0</v>
      </c>
      <c r="AG31" s="70">
        <v>0</v>
      </c>
      <c r="AH31" s="70">
        <v>0</v>
      </c>
      <c r="AI31" s="70">
        <v>0</v>
      </c>
      <c r="AJ31" s="71">
        <v>0</v>
      </c>
      <c r="AK31" s="167"/>
      <c r="AL31" s="129"/>
      <c r="AM31" s="69" t="s">
        <v>112</v>
      </c>
      <c r="AN31" s="70">
        <v>0</v>
      </c>
      <c r="AO31" s="70">
        <f t="shared" si="23"/>
        <v>0</v>
      </c>
      <c r="AP31" s="70">
        <f t="shared" si="23"/>
        <v>0</v>
      </c>
      <c r="AQ31" s="70">
        <v>0</v>
      </c>
      <c r="AR31" s="70">
        <v>0</v>
      </c>
      <c r="AS31" s="70">
        <v>0</v>
      </c>
      <c r="AT31" s="70">
        <v>0</v>
      </c>
      <c r="AU31" s="70">
        <v>0</v>
      </c>
      <c r="AV31" s="71">
        <v>0</v>
      </c>
    </row>
    <row r="32" spans="1:48" ht="28.9" customHeight="1">
      <c r="A32" s="167"/>
      <c r="B32" s="129"/>
      <c r="C32" s="69" t="s">
        <v>113</v>
      </c>
      <c r="D32" s="70">
        <f t="shared" si="0"/>
        <v>1306526.4941569283</v>
      </c>
      <c r="E32" s="70">
        <f t="shared" si="20"/>
        <v>599</v>
      </c>
      <c r="F32" s="70">
        <f t="shared" si="20"/>
        <v>782609370</v>
      </c>
      <c r="G32" s="70">
        <f t="shared" si="6"/>
        <v>1292090.6869158878</v>
      </c>
      <c r="H32" s="70">
        <v>214</v>
      </c>
      <c r="I32" s="70">
        <v>276507407</v>
      </c>
      <c r="J32" s="70">
        <f t="shared" si="2"/>
        <v>1314550.5532467533</v>
      </c>
      <c r="K32" s="70">
        <v>385</v>
      </c>
      <c r="L32" s="71">
        <v>506101963</v>
      </c>
      <c r="M32" s="167"/>
      <c r="N32" s="129"/>
      <c r="O32" s="69" t="s">
        <v>113</v>
      </c>
      <c r="P32" s="70">
        <v>0</v>
      </c>
      <c r="Q32" s="70">
        <v>0</v>
      </c>
      <c r="R32" s="70">
        <f t="shared" si="21"/>
        <v>0</v>
      </c>
      <c r="S32" s="70">
        <v>0</v>
      </c>
      <c r="T32" s="70">
        <v>0</v>
      </c>
      <c r="U32" s="70">
        <v>0</v>
      </c>
      <c r="V32" s="70">
        <v>0</v>
      </c>
      <c r="W32" s="70">
        <v>0</v>
      </c>
      <c r="X32" s="71">
        <v>0</v>
      </c>
      <c r="Y32" s="167"/>
      <c r="Z32" s="129"/>
      <c r="AA32" s="69" t="s">
        <v>113</v>
      </c>
      <c r="AB32" s="70">
        <v>0</v>
      </c>
      <c r="AC32" s="70">
        <f t="shared" si="22"/>
        <v>0</v>
      </c>
      <c r="AD32" s="70">
        <f t="shared" si="22"/>
        <v>0</v>
      </c>
      <c r="AE32" s="70">
        <v>0</v>
      </c>
      <c r="AF32" s="70">
        <v>0</v>
      </c>
      <c r="AG32" s="70">
        <v>0</v>
      </c>
      <c r="AH32" s="70">
        <v>0</v>
      </c>
      <c r="AI32" s="70">
        <v>0</v>
      </c>
      <c r="AJ32" s="71">
        <v>0</v>
      </c>
      <c r="AK32" s="167"/>
      <c r="AL32" s="129"/>
      <c r="AM32" s="69" t="s">
        <v>113</v>
      </c>
      <c r="AN32" s="70">
        <v>0</v>
      </c>
      <c r="AO32" s="70">
        <f t="shared" si="23"/>
        <v>0</v>
      </c>
      <c r="AP32" s="70">
        <f t="shared" si="23"/>
        <v>0</v>
      </c>
      <c r="AQ32" s="70">
        <v>0</v>
      </c>
      <c r="AR32" s="70">
        <v>0</v>
      </c>
      <c r="AS32" s="70">
        <v>0</v>
      </c>
      <c r="AT32" s="70">
        <v>0</v>
      </c>
      <c r="AU32" s="70">
        <v>0</v>
      </c>
      <c r="AV32" s="71">
        <v>0</v>
      </c>
    </row>
    <row r="33" spans="1:48" ht="28.9" customHeight="1">
      <c r="A33" s="167"/>
      <c r="B33" s="129"/>
      <c r="C33" s="69" t="s">
        <v>114</v>
      </c>
      <c r="D33" s="70">
        <f t="shared" si="0"/>
        <v>1632395.6017699116</v>
      </c>
      <c r="E33" s="70">
        <f t="shared" si="20"/>
        <v>4068</v>
      </c>
      <c r="F33" s="70">
        <f t="shared" si="20"/>
        <v>6640585308</v>
      </c>
      <c r="G33" s="70">
        <f t="shared" si="6"/>
        <v>1603017.328724073</v>
      </c>
      <c r="H33" s="70">
        <v>1591</v>
      </c>
      <c r="I33" s="70">
        <v>2550400570</v>
      </c>
      <c r="J33" s="70">
        <f t="shared" si="2"/>
        <v>1651265.538150989</v>
      </c>
      <c r="K33" s="70">
        <v>2477</v>
      </c>
      <c r="L33" s="71">
        <v>4090184738</v>
      </c>
      <c r="M33" s="167"/>
      <c r="N33" s="129"/>
      <c r="O33" s="69" t="s">
        <v>114</v>
      </c>
      <c r="P33" s="70">
        <v>0</v>
      </c>
      <c r="Q33" s="70">
        <v>0</v>
      </c>
      <c r="R33" s="70">
        <f t="shared" si="21"/>
        <v>0</v>
      </c>
      <c r="S33" s="70">
        <v>0</v>
      </c>
      <c r="T33" s="70">
        <v>0</v>
      </c>
      <c r="U33" s="70">
        <v>0</v>
      </c>
      <c r="V33" s="70">
        <v>0</v>
      </c>
      <c r="W33" s="70">
        <v>0</v>
      </c>
      <c r="X33" s="71">
        <v>0</v>
      </c>
      <c r="Y33" s="167"/>
      <c r="Z33" s="129"/>
      <c r="AA33" s="69" t="s">
        <v>114</v>
      </c>
      <c r="AB33" s="70">
        <v>0</v>
      </c>
      <c r="AC33" s="70">
        <f t="shared" si="22"/>
        <v>0</v>
      </c>
      <c r="AD33" s="70">
        <f t="shared" si="22"/>
        <v>0</v>
      </c>
      <c r="AE33" s="70">
        <v>0</v>
      </c>
      <c r="AF33" s="70">
        <v>0</v>
      </c>
      <c r="AG33" s="70">
        <v>0</v>
      </c>
      <c r="AH33" s="70">
        <v>0</v>
      </c>
      <c r="AI33" s="70">
        <v>0</v>
      </c>
      <c r="AJ33" s="71">
        <v>0</v>
      </c>
      <c r="AK33" s="167"/>
      <c r="AL33" s="129"/>
      <c r="AM33" s="69" t="s">
        <v>114</v>
      </c>
      <c r="AN33" s="70">
        <v>0</v>
      </c>
      <c r="AO33" s="70">
        <f t="shared" si="23"/>
        <v>0</v>
      </c>
      <c r="AP33" s="70">
        <f t="shared" si="23"/>
        <v>0</v>
      </c>
      <c r="AQ33" s="70">
        <v>0</v>
      </c>
      <c r="AR33" s="70">
        <v>0</v>
      </c>
      <c r="AS33" s="70">
        <v>0</v>
      </c>
      <c r="AT33" s="70">
        <v>0</v>
      </c>
      <c r="AU33" s="70">
        <v>0</v>
      </c>
      <c r="AV33" s="71">
        <v>0</v>
      </c>
    </row>
    <row r="34" spans="1:48" ht="28.9" customHeight="1">
      <c r="A34" s="167"/>
      <c r="B34" s="129"/>
      <c r="C34" s="69" t="s">
        <v>115</v>
      </c>
      <c r="D34" s="70">
        <f t="shared" si="0"/>
        <v>1568317.9792142396</v>
      </c>
      <c r="E34" s="70">
        <f t="shared" si="20"/>
        <v>34158</v>
      </c>
      <c r="F34" s="70">
        <f t="shared" si="20"/>
        <v>53570605534</v>
      </c>
      <c r="G34" s="70">
        <f t="shared" si="6"/>
        <v>1581973.7129841999</v>
      </c>
      <c r="H34" s="70">
        <v>15696</v>
      </c>
      <c r="I34" s="70">
        <v>24830659399</v>
      </c>
      <c r="J34" s="70">
        <f t="shared" si="2"/>
        <v>1556708.1646083847</v>
      </c>
      <c r="K34" s="70">
        <v>18462</v>
      </c>
      <c r="L34" s="71">
        <v>28739946135</v>
      </c>
      <c r="M34" s="167"/>
      <c r="N34" s="129"/>
      <c r="O34" s="69" t="s">
        <v>115</v>
      </c>
      <c r="P34" s="70">
        <v>0</v>
      </c>
      <c r="Q34" s="70">
        <v>0</v>
      </c>
      <c r="R34" s="70">
        <f t="shared" si="21"/>
        <v>0</v>
      </c>
      <c r="S34" s="70">
        <v>0</v>
      </c>
      <c r="T34" s="70">
        <v>0</v>
      </c>
      <c r="U34" s="70">
        <v>0</v>
      </c>
      <c r="V34" s="70">
        <v>0</v>
      </c>
      <c r="W34" s="70">
        <v>0</v>
      </c>
      <c r="X34" s="71">
        <v>0</v>
      </c>
      <c r="Y34" s="167"/>
      <c r="Z34" s="129"/>
      <c r="AA34" s="69" t="s">
        <v>115</v>
      </c>
      <c r="AB34" s="70">
        <v>0</v>
      </c>
      <c r="AC34" s="70">
        <f t="shared" si="22"/>
        <v>0</v>
      </c>
      <c r="AD34" s="70">
        <f t="shared" si="22"/>
        <v>0</v>
      </c>
      <c r="AE34" s="70">
        <v>0</v>
      </c>
      <c r="AF34" s="70">
        <v>0</v>
      </c>
      <c r="AG34" s="70">
        <v>0</v>
      </c>
      <c r="AH34" s="70">
        <v>0</v>
      </c>
      <c r="AI34" s="70">
        <v>0</v>
      </c>
      <c r="AJ34" s="71">
        <v>0</v>
      </c>
      <c r="AK34" s="167"/>
      <c r="AL34" s="129"/>
      <c r="AM34" s="69" t="s">
        <v>115</v>
      </c>
      <c r="AN34" s="70">
        <v>0</v>
      </c>
      <c r="AO34" s="70">
        <f t="shared" si="23"/>
        <v>0</v>
      </c>
      <c r="AP34" s="70">
        <f t="shared" si="23"/>
        <v>0</v>
      </c>
      <c r="AQ34" s="70">
        <v>0</v>
      </c>
      <c r="AR34" s="70">
        <v>0</v>
      </c>
      <c r="AS34" s="70">
        <v>0</v>
      </c>
      <c r="AT34" s="70">
        <v>0</v>
      </c>
      <c r="AU34" s="70">
        <v>0</v>
      </c>
      <c r="AV34" s="71">
        <v>0</v>
      </c>
    </row>
    <row r="35" spans="1:48" ht="28.9" customHeight="1">
      <c r="A35" s="167"/>
      <c r="B35" s="129"/>
      <c r="C35" s="69" t="s">
        <v>116</v>
      </c>
      <c r="D35" s="70">
        <f t="shared" si="0"/>
        <v>1299169.2802527077</v>
      </c>
      <c r="E35" s="70">
        <f t="shared" si="20"/>
        <v>27700</v>
      </c>
      <c r="F35" s="70">
        <f t="shared" si="20"/>
        <v>35986989063</v>
      </c>
      <c r="G35" s="70">
        <f t="shared" si="6"/>
        <v>1397958.290983323</v>
      </c>
      <c r="H35" s="70">
        <v>14451</v>
      </c>
      <c r="I35" s="70">
        <v>20201895263</v>
      </c>
      <c r="J35" s="70">
        <f t="shared" si="2"/>
        <v>1191417.7522831911</v>
      </c>
      <c r="K35" s="70">
        <v>13249</v>
      </c>
      <c r="L35" s="71">
        <v>15785093800</v>
      </c>
      <c r="M35" s="167"/>
      <c r="N35" s="129"/>
      <c r="O35" s="69" t="s">
        <v>116</v>
      </c>
      <c r="P35" s="70">
        <f t="shared" ref="P35:P38" si="24">R35/Q35/12</f>
        <v>16248.108099595933</v>
      </c>
      <c r="Q35" s="70">
        <v>69852.25</v>
      </c>
      <c r="R35" s="70">
        <f t="shared" si="21"/>
        <v>13619602908</v>
      </c>
      <c r="S35" s="70">
        <f t="shared" ref="S35:S38" si="25">U35/T35/12</f>
        <v>16323.751747090153</v>
      </c>
      <c r="T35" s="70">
        <v>28776.42</v>
      </c>
      <c r="U35" s="70">
        <v>5636869635</v>
      </c>
      <c r="V35" s="70">
        <f t="shared" ref="V35:V38" si="26">X35/W35/12</f>
        <v>16195.114566157274</v>
      </c>
      <c r="W35" s="70">
        <v>41075.83</v>
      </c>
      <c r="X35" s="71">
        <v>7982733273</v>
      </c>
      <c r="Y35" s="167"/>
      <c r="Z35" s="129"/>
      <c r="AA35" s="69" t="s">
        <v>116</v>
      </c>
      <c r="AB35" s="70">
        <v>0</v>
      </c>
      <c r="AC35" s="70">
        <f t="shared" si="22"/>
        <v>0</v>
      </c>
      <c r="AD35" s="70">
        <f t="shared" si="22"/>
        <v>0</v>
      </c>
      <c r="AE35" s="70">
        <v>0</v>
      </c>
      <c r="AF35" s="70">
        <v>0</v>
      </c>
      <c r="AG35" s="70">
        <v>0</v>
      </c>
      <c r="AH35" s="70">
        <v>0</v>
      </c>
      <c r="AI35" s="70">
        <v>0</v>
      </c>
      <c r="AJ35" s="71">
        <v>0</v>
      </c>
      <c r="AK35" s="167"/>
      <c r="AL35" s="129"/>
      <c r="AM35" s="69" t="s">
        <v>116</v>
      </c>
      <c r="AN35" s="70">
        <f t="shared" si="14"/>
        <v>1331509.6782608696</v>
      </c>
      <c r="AO35" s="70">
        <f t="shared" si="23"/>
        <v>230</v>
      </c>
      <c r="AP35" s="70">
        <f t="shared" si="23"/>
        <v>306247226</v>
      </c>
      <c r="AQ35" s="70">
        <f t="shared" si="15"/>
        <v>1351652.2167832167</v>
      </c>
      <c r="AR35" s="70">
        <v>143</v>
      </c>
      <c r="AS35" s="70">
        <v>193286267</v>
      </c>
      <c r="AT35" s="70">
        <f t="shared" si="16"/>
        <v>1298401.8275862068</v>
      </c>
      <c r="AU35" s="70">
        <v>87</v>
      </c>
      <c r="AV35" s="71">
        <v>112960959</v>
      </c>
    </row>
    <row r="36" spans="1:48" ht="28.9" customHeight="1">
      <c r="A36" s="167"/>
      <c r="B36" s="129"/>
      <c r="C36" s="69" t="s">
        <v>117</v>
      </c>
      <c r="D36" s="70">
        <f t="shared" si="0"/>
        <v>991226.00950406084</v>
      </c>
      <c r="E36" s="70">
        <f t="shared" si="20"/>
        <v>11574</v>
      </c>
      <c r="F36" s="70">
        <f t="shared" si="20"/>
        <v>11472449834</v>
      </c>
      <c r="G36" s="70">
        <f t="shared" si="6"/>
        <v>1007535.0352216025</v>
      </c>
      <c r="H36" s="70">
        <v>6814</v>
      </c>
      <c r="I36" s="70">
        <v>6865343730</v>
      </c>
      <c r="J36" s="70">
        <f t="shared" si="2"/>
        <v>967879.43361344538</v>
      </c>
      <c r="K36" s="70">
        <v>4760</v>
      </c>
      <c r="L36" s="71">
        <v>4607106104</v>
      </c>
      <c r="M36" s="167"/>
      <c r="N36" s="129"/>
      <c r="O36" s="69" t="s">
        <v>117</v>
      </c>
      <c r="P36" s="70">
        <f t="shared" si="24"/>
        <v>16919.997862926506</v>
      </c>
      <c r="Q36" s="70">
        <v>486849.58</v>
      </c>
      <c r="R36" s="70">
        <f t="shared" si="21"/>
        <v>98849926238</v>
      </c>
      <c r="S36" s="70">
        <f t="shared" si="25"/>
        <v>17734.083686273658</v>
      </c>
      <c r="T36" s="70">
        <v>216698.58</v>
      </c>
      <c r="U36" s="70">
        <v>46115409029</v>
      </c>
      <c r="V36" s="70">
        <f t="shared" si="26"/>
        <v>16266.988094621156</v>
      </c>
      <c r="W36" s="70">
        <v>270151</v>
      </c>
      <c r="X36" s="71">
        <v>52734517209</v>
      </c>
      <c r="Y36" s="167"/>
      <c r="Z36" s="129"/>
      <c r="AA36" s="69" t="s">
        <v>117</v>
      </c>
      <c r="AB36" s="70">
        <f t="shared" si="11"/>
        <v>128483.73089955885</v>
      </c>
      <c r="AC36" s="70">
        <f t="shared" si="22"/>
        <v>15641</v>
      </c>
      <c r="AD36" s="70">
        <f t="shared" si="22"/>
        <v>2009614035</v>
      </c>
      <c r="AE36" s="70">
        <f t="shared" si="12"/>
        <v>151239.90506080817</v>
      </c>
      <c r="AF36" s="70">
        <v>7647</v>
      </c>
      <c r="AG36" s="70">
        <v>1156531554</v>
      </c>
      <c r="AH36" s="70">
        <f t="shared" si="13"/>
        <v>106715.34663497623</v>
      </c>
      <c r="AI36" s="70">
        <v>7994</v>
      </c>
      <c r="AJ36" s="71">
        <v>853082481</v>
      </c>
      <c r="AK36" s="167"/>
      <c r="AL36" s="129"/>
      <c r="AM36" s="69" t="s">
        <v>117</v>
      </c>
      <c r="AN36" s="70">
        <f t="shared" si="14"/>
        <v>944549.10054213903</v>
      </c>
      <c r="AO36" s="70">
        <f t="shared" si="23"/>
        <v>2029</v>
      </c>
      <c r="AP36" s="70">
        <f t="shared" si="23"/>
        <v>1916490125</v>
      </c>
      <c r="AQ36" s="70">
        <f t="shared" si="15"/>
        <v>958318.17215815489</v>
      </c>
      <c r="AR36" s="70">
        <v>1214</v>
      </c>
      <c r="AS36" s="70">
        <v>1163398261</v>
      </c>
      <c r="AT36" s="70">
        <f t="shared" si="16"/>
        <v>924039.09693251539</v>
      </c>
      <c r="AU36" s="70">
        <v>815</v>
      </c>
      <c r="AV36" s="71">
        <v>753091864</v>
      </c>
    </row>
    <row r="37" spans="1:48" ht="28.9" customHeight="1">
      <c r="A37" s="168"/>
      <c r="B37" s="130"/>
      <c r="C37" s="69" t="s">
        <v>118</v>
      </c>
      <c r="D37" s="70">
        <f t="shared" si="0"/>
        <v>782695.59419480886</v>
      </c>
      <c r="E37" s="70">
        <f t="shared" si="20"/>
        <v>3583</v>
      </c>
      <c r="F37" s="70">
        <f t="shared" si="20"/>
        <v>2804398314</v>
      </c>
      <c r="G37" s="70">
        <f t="shared" si="6"/>
        <v>802061.11876155273</v>
      </c>
      <c r="H37" s="70">
        <v>2164</v>
      </c>
      <c r="I37" s="70">
        <v>1735660261</v>
      </c>
      <c r="J37" s="70">
        <f t="shared" si="2"/>
        <v>753162.82804792107</v>
      </c>
      <c r="K37" s="70">
        <v>1419</v>
      </c>
      <c r="L37" s="71">
        <v>1068738053</v>
      </c>
      <c r="M37" s="168"/>
      <c r="N37" s="130"/>
      <c r="O37" s="69" t="s">
        <v>118</v>
      </c>
      <c r="P37" s="70">
        <f t="shared" si="24"/>
        <v>18226.037810170088</v>
      </c>
      <c r="Q37" s="70">
        <v>476536.25</v>
      </c>
      <c r="R37" s="70">
        <f t="shared" si="21"/>
        <v>104224412525</v>
      </c>
      <c r="S37" s="70">
        <f t="shared" si="25"/>
        <v>19760.370734555792</v>
      </c>
      <c r="T37" s="70">
        <v>225338</v>
      </c>
      <c r="U37" s="70">
        <v>53433149047</v>
      </c>
      <c r="V37" s="70">
        <f t="shared" si="26"/>
        <v>16849.660735428424</v>
      </c>
      <c r="W37" s="70">
        <v>251198.25</v>
      </c>
      <c r="X37" s="71">
        <v>50791263478</v>
      </c>
      <c r="Y37" s="168"/>
      <c r="Z37" s="130"/>
      <c r="AA37" s="69" t="s">
        <v>118</v>
      </c>
      <c r="AB37" s="70">
        <f t="shared" si="11"/>
        <v>84325.41042392567</v>
      </c>
      <c r="AC37" s="70">
        <f t="shared" si="22"/>
        <v>6888</v>
      </c>
      <c r="AD37" s="70">
        <f t="shared" si="22"/>
        <v>580833427</v>
      </c>
      <c r="AE37" s="70">
        <f t="shared" si="12"/>
        <v>100376.08330955777</v>
      </c>
      <c r="AF37" s="70">
        <v>3505</v>
      </c>
      <c r="AG37" s="70">
        <v>351818172</v>
      </c>
      <c r="AH37" s="70">
        <f t="shared" si="13"/>
        <v>67695.907478569323</v>
      </c>
      <c r="AI37" s="70">
        <v>3383</v>
      </c>
      <c r="AJ37" s="71">
        <v>229015255</v>
      </c>
      <c r="AK37" s="168"/>
      <c r="AL37" s="130"/>
      <c r="AM37" s="69" t="s">
        <v>118</v>
      </c>
      <c r="AN37" s="70">
        <f t="shared" si="14"/>
        <v>633570.76896251086</v>
      </c>
      <c r="AO37" s="70">
        <f t="shared" si="23"/>
        <v>2294</v>
      </c>
      <c r="AP37" s="70">
        <f t="shared" si="23"/>
        <v>1453411344</v>
      </c>
      <c r="AQ37" s="70">
        <f t="shared" si="15"/>
        <v>666339.69944211992</v>
      </c>
      <c r="AR37" s="70">
        <v>1434</v>
      </c>
      <c r="AS37" s="70">
        <v>955531129</v>
      </c>
      <c r="AT37" s="70">
        <f t="shared" si="16"/>
        <v>578930.48255813948</v>
      </c>
      <c r="AU37" s="70">
        <v>860</v>
      </c>
      <c r="AV37" s="71">
        <v>497880215</v>
      </c>
    </row>
    <row r="38" spans="1:48" ht="28.9" customHeight="1" thickBot="1">
      <c r="A38" s="169"/>
      <c r="B38" s="131"/>
      <c r="C38" s="73" t="s">
        <v>94</v>
      </c>
      <c r="D38" s="74">
        <f t="shared" si="0"/>
        <v>647607.92307692312</v>
      </c>
      <c r="E38" s="74">
        <f t="shared" si="20"/>
        <v>247</v>
      </c>
      <c r="F38" s="74">
        <f t="shared" si="20"/>
        <v>159959157</v>
      </c>
      <c r="G38" s="74">
        <f t="shared" si="6"/>
        <v>678409.95205479453</v>
      </c>
      <c r="H38" s="74">
        <v>146</v>
      </c>
      <c r="I38" s="74">
        <v>99047853</v>
      </c>
      <c r="J38" s="74">
        <f t="shared" si="2"/>
        <v>603082.21782178222</v>
      </c>
      <c r="K38" s="74">
        <v>101</v>
      </c>
      <c r="L38" s="75">
        <v>60911304</v>
      </c>
      <c r="M38" s="169"/>
      <c r="N38" s="131"/>
      <c r="O38" s="73" t="s">
        <v>94</v>
      </c>
      <c r="P38" s="74">
        <f t="shared" si="24"/>
        <v>16500.897041552675</v>
      </c>
      <c r="Q38" s="74">
        <v>194896.48999999996</v>
      </c>
      <c r="R38" s="74">
        <f t="shared" si="21"/>
        <v>38591602983</v>
      </c>
      <c r="S38" s="74">
        <f t="shared" si="25"/>
        <v>17813.417449760422</v>
      </c>
      <c r="T38" s="74">
        <v>91078.92</v>
      </c>
      <c r="U38" s="74">
        <v>19469121874</v>
      </c>
      <c r="V38" s="74">
        <f t="shared" si="26"/>
        <v>15349.424369328071</v>
      </c>
      <c r="W38" s="74">
        <v>103817.58</v>
      </c>
      <c r="X38" s="75">
        <v>19122481109</v>
      </c>
      <c r="Y38" s="169"/>
      <c r="Z38" s="131"/>
      <c r="AA38" s="73" t="s">
        <v>94</v>
      </c>
      <c r="AB38" s="74">
        <f t="shared" si="11"/>
        <v>55879.55827220864</v>
      </c>
      <c r="AC38" s="74">
        <f t="shared" si="22"/>
        <v>1227</v>
      </c>
      <c r="AD38" s="74">
        <f t="shared" si="22"/>
        <v>68564218</v>
      </c>
      <c r="AE38" s="74">
        <f t="shared" si="12"/>
        <v>65544.061990212067</v>
      </c>
      <c r="AF38" s="74">
        <v>613</v>
      </c>
      <c r="AG38" s="74">
        <v>40178510</v>
      </c>
      <c r="AH38" s="74">
        <f t="shared" si="13"/>
        <v>46230.794788273619</v>
      </c>
      <c r="AI38" s="74">
        <v>614</v>
      </c>
      <c r="AJ38" s="75">
        <v>28385708</v>
      </c>
      <c r="AK38" s="169"/>
      <c r="AL38" s="131"/>
      <c r="AM38" s="73" t="s">
        <v>94</v>
      </c>
      <c r="AN38" s="74">
        <f t="shared" si="14"/>
        <v>242342.88302752294</v>
      </c>
      <c r="AO38" s="74">
        <f t="shared" si="23"/>
        <v>436</v>
      </c>
      <c r="AP38" s="74">
        <f t="shared" si="23"/>
        <v>105661497</v>
      </c>
      <c r="AQ38" s="74">
        <f t="shared" si="15"/>
        <v>246541.68235294116</v>
      </c>
      <c r="AR38" s="74">
        <v>255</v>
      </c>
      <c r="AS38" s="74">
        <v>62868129</v>
      </c>
      <c r="AT38" s="74">
        <f t="shared" si="16"/>
        <v>236427.44751381216</v>
      </c>
      <c r="AU38" s="74">
        <v>181</v>
      </c>
      <c r="AV38" s="75">
        <v>42793368</v>
      </c>
    </row>
    <row r="39" spans="1:48" s="77" customFormat="1" ht="190.15" customHeight="1">
      <c r="A39" s="132" t="s">
        <v>129</v>
      </c>
      <c r="B39" s="132"/>
      <c r="C39" s="132"/>
      <c r="D39" s="132"/>
      <c r="E39" s="132"/>
      <c r="F39" s="132"/>
      <c r="G39" s="132"/>
      <c r="H39" s="132"/>
      <c r="I39" s="132"/>
      <c r="J39" s="132"/>
      <c r="K39" s="132"/>
      <c r="L39" s="132"/>
      <c r="M39" s="132" t="s">
        <v>170</v>
      </c>
      <c r="N39" s="132"/>
      <c r="O39" s="132"/>
      <c r="P39" s="132"/>
      <c r="Q39" s="132"/>
      <c r="R39" s="132"/>
      <c r="S39" s="132"/>
      <c r="T39" s="132"/>
      <c r="U39" s="132"/>
      <c r="V39" s="132"/>
      <c r="W39" s="132"/>
      <c r="X39" s="132"/>
      <c r="Y39" s="132" t="s">
        <v>171</v>
      </c>
      <c r="Z39" s="132"/>
      <c r="AA39" s="132"/>
      <c r="AB39" s="132"/>
      <c r="AC39" s="132"/>
      <c r="AD39" s="132"/>
      <c r="AE39" s="132"/>
      <c r="AF39" s="132"/>
      <c r="AG39" s="132"/>
      <c r="AH39" s="132"/>
      <c r="AI39" s="132"/>
      <c r="AJ39" s="132"/>
      <c r="AK39" s="132" t="s">
        <v>126</v>
      </c>
      <c r="AL39" s="132"/>
      <c r="AM39" s="132"/>
      <c r="AN39" s="132"/>
      <c r="AO39" s="132"/>
      <c r="AP39" s="132"/>
      <c r="AQ39" s="132"/>
      <c r="AR39" s="132"/>
      <c r="AS39" s="132"/>
      <c r="AT39" s="132"/>
      <c r="AU39" s="132"/>
      <c r="AV39" s="132"/>
    </row>
  </sheetData>
  <mergeCells count="48">
    <mergeCell ref="AN4:AP4"/>
    <mergeCell ref="Y3:Y5"/>
    <mergeCell ref="AB3:AJ3"/>
    <mergeCell ref="AK3:AK5"/>
    <mergeCell ref="AL3:AM5"/>
    <mergeCell ref="AQ4:AS4"/>
    <mergeCell ref="A1:L1"/>
    <mergeCell ref="M1:X1"/>
    <mergeCell ref="Y1:AJ1"/>
    <mergeCell ref="AK1:AV1"/>
    <mergeCell ref="A3:A5"/>
    <mergeCell ref="B3:C5"/>
    <mergeCell ref="D3:L3"/>
    <mergeCell ref="M3:M5"/>
    <mergeCell ref="N3:O5"/>
    <mergeCell ref="P3:X3"/>
    <mergeCell ref="AN3:AV3"/>
    <mergeCell ref="AB4:AD4"/>
    <mergeCell ref="AT4:AV4"/>
    <mergeCell ref="AE4:AG4"/>
    <mergeCell ref="AH4:AJ4"/>
    <mergeCell ref="A6:A28"/>
    <mergeCell ref="B6:B28"/>
    <mergeCell ref="M6:M28"/>
    <mergeCell ref="N6:N28"/>
    <mergeCell ref="Y6:Y28"/>
    <mergeCell ref="Z6:Z28"/>
    <mergeCell ref="AK6:AK28"/>
    <mergeCell ref="AL6:AL28"/>
    <mergeCell ref="D4:F4"/>
    <mergeCell ref="G4:I4"/>
    <mergeCell ref="J4:L4"/>
    <mergeCell ref="P4:R4"/>
    <mergeCell ref="S4:U4"/>
    <mergeCell ref="V4:X4"/>
    <mergeCell ref="Z3:AA5"/>
    <mergeCell ref="AK29:AK38"/>
    <mergeCell ref="AL29:AL38"/>
    <mergeCell ref="A39:L39"/>
    <mergeCell ref="M39:X39"/>
    <mergeCell ref="Y39:AJ39"/>
    <mergeCell ref="AK39:AV39"/>
    <mergeCell ref="A29:A38"/>
    <mergeCell ref="B29:B38"/>
    <mergeCell ref="M29:M38"/>
    <mergeCell ref="N29:N38"/>
    <mergeCell ref="Y29:Y38"/>
    <mergeCell ref="Z29:Z38"/>
  </mergeCells>
  <phoneticPr fontId="14" type="noConversion"/>
  <printOptions horizontalCentered="1"/>
  <pageMargins left="0.15748031496062992" right="0.15748031496062992" top="0.59055118110236227" bottom="0.59055118110236227" header="0.51181102362204722" footer="0.31496062992125984"/>
  <pageSetup paperSize="9" orientation="portrait" r:id="rId1"/>
  <headerFooter alignWithMargins="0"/>
  <rowBreaks count="1" manualBreakCount="1">
    <brk id="28" max="16383" man="1"/>
  </rowBreaks>
  <colBreaks count="3" manualBreakCount="3">
    <brk id="24" max="1048575" man="1"/>
    <brk id="36" max="1048575" man="1"/>
    <brk id="12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X39"/>
  <sheetViews>
    <sheetView view="pageBreakPreview" zoomScale="80" zoomScaleNormal="90" zoomScaleSheetLayoutView="80" workbookViewId="0">
      <selection activeCell="A2" sqref="A2"/>
    </sheetView>
  </sheetViews>
  <sheetFormatPr defaultColWidth="9" defaultRowHeight="16.5"/>
  <cols>
    <col min="1" max="1" width="5.625" style="20" customWidth="1"/>
    <col min="2" max="2" width="3.5" style="20" customWidth="1"/>
    <col min="3" max="3" width="9.5" style="32" customWidth="1"/>
    <col min="4" max="4" width="8.25" style="19" customWidth="1"/>
    <col min="5" max="5" width="6.375" style="19" customWidth="1"/>
    <col min="6" max="6" width="12.75" style="19" customWidth="1"/>
    <col min="7" max="7" width="8.25" style="19" customWidth="1"/>
    <col min="8" max="8" width="6.25" style="19" customWidth="1"/>
    <col min="9" max="9" width="12" style="19" customWidth="1"/>
    <col min="10" max="10" width="8.25" style="19" customWidth="1"/>
    <col min="11" max="11" width="6.25" style="19" customWidth="1"/>
    <col min="12" max="12" width="12" style="19" customWidth="1"/>
    <col min="13" max="13" width="5.625" style="19" customWidth="1"/>
    <col min="14" max="14" width="3.5" style="19" customWidth="1"/>
    <col min="15" max="15" width="9.375" style="33" customWidth="1"/>
    <col min="16" max="16" width="6.75" style="19" customWidth="1"/>
    <col min="17" max="17" width="8" style="19" customWidth="1"/>
    <col min="18" max="18" width="12.5" style="19" customWidth="1"/>
    <col min="19" max="19" width="6.75" style="19" customWidth="1"/>
    <col min="20" max="20" width="7.375" style="19" customWidth="1"/>
    <col min="21" max="21" width="12.5" style="19" customWidth="1"/>
    <col min="22" max="22" width="6.75" style="19" customWidth="1"/>
    <col min="23" max="23" width="7.375" style="19" customWidth="1"/>
    <col min="24" max="24" width="12.5" style="19" customWidth="1"/>
    <col min="25" max="25" width="6.625" style="19" customWidth="1"/>
    <col min="26" max="26" width="4.625" style="19" customWidth="1"/>
    <col min="27" max="27" width="9.375" style="33" customWidth="1"/>
    <col min="28" max="28" width="7.5" style="19" customWidth="1"/>
    <col min="29" max="29" width="7.25" style="19" customWidth="1"/>
    <col min="30" max="30" width="10.75" style="19" customWidth="1"/>
    <col min="31" max="31" width="7.5" style="19" customWidth="1"/>
    <col min="32" max="32" width="7.25" style="19" customWidth="1"/>
    <col min="33" max="33" width="10.75" style="19" customWidth="1"/>
    <col min="34" max="34" width="7.5" style="19" customWidth="1"/>
    <col min="35" max="35" width="7.25" style="19" customWidth="1"/>
    <col min="36" max="36" width="10.75" style="19" customWidth="1"/>
    <col min="37" max="37" width="6.625" style="19" customWidth="1"/>
    <col min="38" max="38" width="4.625" style="19" customWidth="1"/>
    <col min="39" max="39" width="9.375" style="33" customWidth="1"/>
    <col min="40" max="40" width="8.5" style="19" customWidth="1"/>
    <col min="41" max="41" width="6.75" style="19" customWidth="1"/>
    <col min="42" max="42" width="10.75" style="19" customWidth="1"/>
    <col min="43" max="43" width="8.5" style="19" customWidth="1"/>
    <col min="44" max="44" width="6.75" style="19" customWidth="1"/>
    <col min="45" max="45" width="10.75" style="19" customWidth="1"/>
    <col min="46" max="46" width="8.5" style="19" customWidth="1"/>
    <col min="47" max="47" width="6.75" style="19" customWidth="1"/>
    <col min="48" max="48" width="10.75" style="19" customWidth="1"/>
    <col min="49" max="16384" width="9" style="19"/>
  </cols>
  <sheetData>
    <row r="1" spans="1:50" ht="24" customHeight="1">
      <c r="A1" s="174" t="s">
        <v>121</v>
      </c>
      <c r="B1" s="175"/>
      <c r="C1" s="175"/>
      <c r="D1" s="175"/>
      <c r="E1" s="175"/>
      <c r="F1" s="175"/>
      <c r="G1" s="175"/>
      <c r="H1" s="175"/>
      <c r="I1" s="175"/>
      <c r="J1" s="175"/>
      <c r="K1" s="175"/>
      <c r="L1" s="175"/>
      <c r="M1" s="174" t="s">
        <v>119</v>
      </c>
      <c r="N1" s="175"/>
      <c r="O1" s="175"/>
      <c r="P1" s="175"/>
      <c r="Q1" s="175"/>
      <c r="R1" s="175"/>
      <c r="S1" s="175"/>
      <c r="T1" s="175"/>
      <c r="U1" s="175"/>
      <c r="V1" s="175"/>
      <c r="W1" s="175"/>
      <c r="X1" s="175"/>
      <c r="Y1" s="174" t="s">
        <v>123</v>
      </c>
      <c r="Z1" s="175"/>
      <c r="AA1" s="175"/>
      <c r="AB1" s="175"/>
      <c r="AC1" s="175"/>
      <c r="AD1" s="175"/>
      <c r="AE1" s="175"/>
      <c r="AF1" s="175"/>
      <c r="AG1" s="175"/>
      <c r="AH1" s="175"/>
      <c r="AI1" s="175"/>
      <c r="AJ1" s="175"/>
      <c r="AK1" s="174" t="s">
        <v>122</v>
      </c>
      <c r="AL1" s="175"/>
      <c r="AM1" s="175"/>
      <c r="AN1" s="175"/>
      <c r="AO1" s="175"/>
      <c r="AP1" s="175"/>
      <c r="AQ1" s="175"/>
      <c r="AR1" s="175"/>
      <c r="AS1" s="175"/>
      <c r="AT1" s="175"/>
      <c r="AU1" s="175"/>
      <c r="AV1" s="175"/>
    </row>
    <row r="2" spans="1:50" ht="18" customHeight="1" thickBot="1">
      <c r="AM2" s="34"/>
      <c r="AN2" s="22"/>
      <c r="AO2" s="22"/>
    </row>
    <row r="3" spans="1:50" s="37" customFormat="1" ht="27" customHeight="1">
      <c r="A3" s="135" t="s">
        <v>62</v>
      </c>
      <c r="B3" s="141" t="s">
        <v>52</v>
      </c>
      <c r="C3" s="142"/>
      <c r="D3" s="137" t="s">
        <v>135</v>
      </c>
      <c r="E3" s="137"/>
      <c r="F3" s="138"/>
      <c r="G3" s="138"/>
      <c r="H3" s="138"/>
      <c r="I3" s="138"/>
      <c r="J3" s="138"/>
      <c r="K3" s="139"/>
      <c r="L3" s="140"/>
      <c r="M3" s="135" t="s">
        <v>62</v>
      </c>
      <c r="N3" s="141" t="s">
        <v>52</v>
      </c>
      <c r="O3" s="142"/>
      <c r="P3" s="137" t="str">
        <f>D3</f>
        <v>107年</v>
      </c>
      <c r="Q3" s="137"/>
      <c r="R3" s="138"/>
      <c r="S3" s="138"/>
      <c r="T3" s="138"/>
      <c r="U3" s="138"/>
      <c r="V3" s="138"/>
      <c r="W3" s="139"/>
      <c r="X3" s="140"/>
      <c r="Y3" s="135" t="s">
        <v>62</v>
      </c>
      <c r="Z3" s="141" t="s">
        <v>52</v>
      </c>
      <c r="AA3" s="142"/>
      <c r="AB3" s="137" t="str">
        <f>D3</f>
        <v>107年</v>
      </c>
      <c r="AC3" s="137"/>
      <c r="AD3" s="138"/>
      <c r="AE3" s="138"/>
      <c r="AF3" s="138"/>
      <c r="AG3" s="138"/>
      <c r="AH3" s="138"/>
      <c r="AI3" s="139"/>
      <c r="AJ3" s="140"/>
      <c r="AK3" s="135" t="s">
        <v>62</v>
      </c>
      <c r="AL3" s="141" t="s">
        <v>52</v>
      </c>
      <c r="AM3" s="142"/>
      <c r="AN3" s="137" t="str">
        <f>D3</f>
        <v>107年</v>
      </c>
      <c r="AO3" s="137"/>
      <c r="AP3" s="138"/>
      <c r="AQ3" s="138"/>
      <c r="AR3" s="138"/>
      <c r="AS3" s="138"/>
      <c r="AT3" s="138"/>
      <c r="AU3" s="139"/>
      <c r="AV3" s="140"/>
    </row>
    <row r="4" spans="1:50" s="37" customFormat="1" ht="27" customHeight="1">
      <c r="A4" s="136"/>
      <c r="B4" s="143"/>
      <c r="C4" s="144"/>
      <c r="D4" s="134" t="s">
        <v>12</v>
      </c>
      <c r="E4" s="134"/>
      <c r="F4" s="134"/>
      <c r="G4" s="134" t="s">
        <v>13</v>
      </c>
      <c r="H4" s="134"/>
      <c r="I4" s="134"/>
      <c r="J4" s="134" t="s">
        <v>14</v>
      </c>
      <c r="K4" s="147"/>
      <c r="L4" s="148"/>
      <c r="M4" s="136"/>
      <c r="N4" s="143"/>
      <c r="O4" s="144"/>
      <c r="P4" s="134" t="s">
        <v>12</v>
      </c>
      <c r="Q4" s="134"/>
      <c r="R4" s="134"/>
      <c r="S4" s="134" t="s">
        <v>13</v>
      </c>
      <c r="T4" s="134"/>
      <c r="U4" s="134"/>
      <c r="V4" s="134" t="s">
        <v>14</v>
      </c>
      <c r="W4" s="147"/>
      <c r="X4" s="148"/>
      <c r="Y4" s="136"/>
      <c r="Z4" s="143"/>
      <c r="AA4" s="144"/>
      <c r="AB4" s="134" t="s">
        <v>12</v>
      </c>
      <c r="AC4" s="134"/>
      <c r="AD4" s="134"/>
      <c r="AE4" s="134" t="s">
        <v>13</v>
      </c>
      <c r="AF4" s="134"/>
      <c r="AG4" s="134"/>
      <c r="AH4" s="134" t="s">
        <v>14</v>
      </c>
      <c r="AI4" s="147"/>
      <c r="AJ4" s="148"/>
      <c r="AK4" s="136"/>
      <c r="AL4" s="143"/>
      <c r="AM4" s="144"/>
      <c r="AN4" s="134" t="s">
        <v>12</v>
      </c>
      <c r="AO4" s="134"/>
      <c r="AP4" s="134"/>
      <c r="AQ4" s="134" t="s">
        <v>13</v>
      </c>
      <c r="AR4" s="134"/>
      <c r="AS4" s="134"/>
      <c r="AT4" s="134" t="s">
        <v>14</v>
      </c>
      <c r="AU4" s="147"/>
      <c r="AV4" s="148"/>
    </row>
    <row r="5" spans="1:50" ht="49.5">
      <c r="A5" s="136"/>
      <c r="B5" s="145"/>
      <c r="C5" s="146"/>
      <c r="D5" s="38" t="s">
        <v>124</v>
      </c>
      <c r="E5" s="39" t="s">
        <v>15</v>
      </c>
      <c r="F5" s="39" t="s">
        <v>16</v>
      </c>
      <c r="G5" s="38" t="s">
        <v>124</v>
      </c>
      <c r="H5" s="39" t="s">
        <v>15</v>
      </c>
      <c r="I5" s="39" t="s">
        <v>16</v>
      </c>
      <c r="J5" s="38" t="s">
        <v>124</v>
      </c>
      <c r="K5" s="39" t="s">
        <v>15</v>
      </c>
      <c r="L5" s="40" t="s">
        <v>16</v>
      </c>
      <c r="M5" s="136"/>
      <c r="N5" s="145"/>
      <c r="O5" s="146"/>
      <c r="P5" s="38" t="s">
        <v>166</v>
      </c>
      <c r="Q5" s="38" t="s">
        <v>157</v>
      </c>
      <c r="R5" s="39" t="s">
        <v>16</v>
      </c>
      <c r="S5" s="38" t="s">
        <v>168</v>
      </c>
      <c r="T5" s="38" t="s">
        <v>157</v>
      </c>
      <c r="U5" s="39" t="s">
        <v>16</v>
      </c>
      <c r="V5" s="38" t="s">
        <v>168</v>
      </c>
      <c r="W5" s="38" t="s">
        <v>157</v>
      </c>
      <c r="X5" s="40" t="s">
        <v>16</v>
      </c>
      <c r="Y5" s="136"/>
      <c r="Z5" s="145"/>
      <c r="AA5" s="146"/>
      <c r="AB5" s="38" t="s">
        <v>124</v>
      </c>
      <c r="AC5" s="39" t="s">
        <v>15</v>
      </c>
      <c r="AD5" s="39" t="s">
        <v>16</v>
      </c>
      <c r="AE5" s="38" t="s">
        <v>124</v>
      </c>
      <c r="AF5" s="39" t="s">
        <v>15</v>
      </c>
      <c r="AG5" s="39" t="s">
        <v>16</v>
      </c>
      <c r="AH5" s="38" t="s">
        <v>124</v>
      </c>
      <c r="AI5" s="39" t="s">
        <v>15</v>
      </c>
      <c r="AJ5" s="40" t="s">
        <v>16</v>
      </c>
      <c r="AK5" s="136"/>
      <c r="AL5" s="145"/>
      <c r="AM5" s="146"/>
      <c r="AN5" s="38" t="s">
        <v>124</v>
      </c>
      <c r="AO5" s="39" t="s">
        <v>15</v>
      </c>
      <c r="AP5" s="39" t="s">
        <v>16</v>
      </c>
      <c r="AQ5" s="38" t="s">
        <v>124</v>
      </c>
      <c r="AR5" s="39" t="s">
        <v>15</v>
      </c>
      <c r="AS5" s="39" t="s">
        <v>16</v>
      </c>
      <c r="AT5" s="38" t="s">
        <v>124</v>
      </c>
      <c r="AU5" s="39" t="s">
        <v>15</v>
      </c>
      <c r="AV5" s="40" t="s">
        <v>16</v>
      </c>
    </row>
    <row r="6" spans="1:50" ht="24" customHeight="1">
      <c r="A6" s="149" t="s">
        <v>147</v>
      </c>
      <c r="B6" s="153" t="s">
        <v>17</v>
      </c>
      <c r="C6" s="41" t="s">
        <v>76</v>
      </c>
      <c r="D6" s="42">
        <f t="shared" ref="D6:D38" si="0">F6/E6</f>
        <v>1349351.8959193672</v>
      </c>
      <c r="E6" s="42">
        <f>SUM(E7:E28)</f>
        <v>85722</v>
      </c>
      <c r="F6" s="42">
        <f>SUM(F7:F28)</f>
        <v>115669143222</v>
      </c>
      <c r="G6" s="42">
        <f>I6/H6</f>
        <v>1361499.8574159744</v>
      </c>
      <c r="H6" s="42">
        <f t="shared" ref="H6:L6" si="1">SUM(H7:H28)</f>
        <v>42368</v>
      </c>
      <c r="I6" s="42">
        <f t="shared" si="1"/>
        <v>57684025959</v>
      </c>
      <c r="J6" s="42">
        <f t="shared" ref="J6:J38" si="2">L6/K6</f>
        <v>1337480.2155049131</v>
      </c>
      <c r="K6" s="42">
        <f t="shared" ref="K6" si="3">SUM(K7:K28)</f>
        <v>43354</v>
      </c>
      <c r="L6" s="43">
        <f t="shared" si="1"/>
        <v>57985117263</v>
      </c>
      <c r="M6" s="149" t="s">
        <v>148</v>
      </c>
      <c r="N6" s="153" t="s">
        <v>17</v>
      </c>
      <c r="O6" s="41" t="s">
        <v>76</v>
      </c>
      <c r="P6" s="42">
        <f>R6/Q6/12</f>
        <v>17051.305295073475</v>
      </c>
      <c r="Q6" s="42">
        <v>1112308.33</v>
      </c>
      <c r="R6" s="42">
        <f>U6+X6</f>
        <v>227595707005</v>
      </c>
      <c r="S6" s="42">
        <f>U6/T6/12</f>
        <v>18188.732341858482</v>
      </c>
      <c r="T6" s="42">
        <v>507459.5</v>
      </c>
      <c r="U6" s="42">
        <f>SUM(U7:U28)+(52872)</f>
        <v>110760540238</v>
      </c>
      <c r="V6" s="79">
        <f>X6/W6/12</f>
        <v>16097.020303817073</v>
      </c>
      <c r="W6" s="42">
        <v>604848.82999999996</v>
      </c>
      <c r="X6" s="43">
        <f>SUM(X7:X28)+(0)</f>
        <v>116835166767</v>
      </c>
      <c r="Y6" s="149" t="s">
        <v>149</v>
      </c>
      <c r="Z6" s="153" t="s">
        <v>17</v>
      </c>
      <c r="AA6" s="41" t="s">
        <v>76</v>
      </c>
      <c r="AB6" s="42">
        <f>AD6/AC6</f>
        <v>98760.83286180631</v>
      </c>
      <c r="AC6" s="42">
        <f>AF6+AI6</f>
        <v>18380</v>
      </c>
      <c r="AD6" s="42">
        <f>AG6+AJ6</f>
        <v>1815224108</v>
      </c>
      <c r="AE6" s="42">
        <f>AG6/AF6</f>
        <v>118282.95228147334</v>
      </c>
      <c r="AF6" s="42">
        <f>SUM(AF7:AF28)+(0)</f>
        <v>9095</v>
      </c>
      <c r="AG6" s="42">
        <f>SUM(AG7:AG28)+(0)</f>
        <v>1075783451</v>
      </c>
      <c r="AH6" s="42">
        <f>AJ6/AI6</f>
        <v>79638.196768982234</v>
      </c>
      <c r="AI6" s="42">
        <f>SUM(AI7:AI28)+(2)</f>
        <v>9285</v>
      </c>
      <c r="AJ6" s="43">
        <f>SUM(AJ7:AJ28)+(14265)</f>
        <v>739440657</v>
      </c>
      <c r="AK6" s="149" t="s">
        <v>151</v>
      </c>
      <c r="AL6" s="153" t="s">
        <v>17</v>
      </c>
      <c r="AM6" s="41" t="s">
        <v>76</v>
      </c>
      <c r="AN6" s="42">
        <f>AP6/AO6</f>
        <v>794421.80024839577</v>
      </c>
      <c r="AO6" s="42">
        <f>SUM(AO7:AO28)</f>
        <v>4831</v>
      </c>
      <c r="AP6" s="42">
        <f>SUM(AP7:AP28)</f>
        <v>3837851717</v>
      </c>
      <c r="AQ6" s="42">
        <f>AS6/AR6</f>
        <v>825989.4144553073</v>
      </c>
      <c r="AR6" s="42">
        <f t="shared" ref="AR6:AS6" si="4">SUM(AR7:AR28)</f>
        <v>2864</v>
      </c>
      <c r="AS6" s="42">
        <f t="shared" si="4"/>
        <v>2365633683</v>
      </c>
      <c r="AT6" s="42">
        <f>AV6/AU6</f>
        <v>748458.58362989326</v>
      </c>
      <c r="AU6" s="42">
        <f t="shared" ref="AU6:AV6" si="5">SUM(AU7:AU28)</f>
        <v>1967</v>
      </c>
      <c r="AV6" s="43">
        <f t="shared" si="5"/>
        <v>1472218034</v>
      </c>
      <c r="AX6" s="22"/>
    </row>
    <row r="7" spans="1:50" ht="24" customHeight="1">
      <c r="A7" s="150"/>
      <c r="B7" s="154"/>
      <c r="C7" s="41" t="s">
        <v>95</v>
      </c>
      <c r="D7" s="42">
        <f t="shared" si="0"/>
        <v>1395693.7468560438</v>
      </c>
      <c r="E7" s="42">
        <f>H7+K7</f>
        <v>13518</v>
      </c>
      <c r="F7" s="42">
        <f>I7+L7</f>
        <v>18866988070</v>
      </c>
      <c r="G7" s="42">
        <f t="shared" ref="G7:G38" si="6">I7/H7</f>
        <v>1406733.4265056648</v>
      </c>
      <c r="H7" s="42">
        <v>6708</v>
      </c>
      <c r="I7" s="42">
        <v>9436367825</v>
      </c>
      <c r="J7" s="42">
        <f t="shared" si="2"/>
        <v>1384819.4192364169</v>
      </c>
      <c r="K7" s="42">
        <v>6810</v>
      </c>
      <c r="L7" s="43">
        <v>9430620245</v>
      </c>
      <c r="M7" s="150"/>
      <c r="N7" s="154"/>
      <c r="O7" s="41" t="s">
        <v>95</v>
      </c>
      <c r="P7" s="42">
        <f t="shared" ref="P7:P28" si="7">R7/Q7/12</f>
        <v>17143.131939021798</v>
      </c>
      <c r="Q7" s="42">
        <v>163127.57999999999</v>
      </c>
      <c r="R7" s="42">
        <f t="shared" ref="R7:R12" si="8">U7+X7</f>
        <v>33558211522</v>
      </c>
      <c r="S7" s="42">
        <f t="shared" ref="S7:S28" si="9">U7/T7/12</f>
        <v>18001.203862758328</v>
      </c>
      <c r="T7" s="42">
        <v>74479.42</v>
      </c>
      <c r="U7" s="42">
        <v>16088630676</v>
      </c>
      <c r="V7" s="79">
        <f t="shared" ref="V7:V28" si="10">X7/W7/12</f>
        <v>16422.204810695283</v>
      </c>
      <c r="W7" s="42">
        <v>88648.17</v>
      </c>
      <c r="X7" s="43">
        <v>17469580846</v>
      </c>
      <c r="Y7" s="150"/>
      <c r="Z7" s="154"/>
      <c r="AA7" s="41" t="s">
        <v>95</v>
      </c>
      <c r="AB7" s="42">
        <f t="shared" ref="AB7:AB38" si="11">AD7/AC7</f>
        <v>107443.94418783679</v>
      </c>
      <c r="AC7" s="42">
        <f>AF7+AI7</f>
        <v>2598</v>
      </c>
      <c r="AD7" s="42">
        <f>AG7+AJ7</f>
        <v>279139367</v>
      </c>
      <c r="AE7" s="42">
        <f t="shared" ref="AE7:AE38" si="12">AG7/AF7</f>
        <v>125817.68536770281</v>
      </c>
      <c r="AF7" s="42">
        <v>1319</v>
      </c>
      <c r="AG7" s="42">
        <v>165953527</v>
      </c>
      <c r="AH7" s="42">
        <f t="shared" ref="AH7:AH38" si="13">AJ7/AI7</f>
        <v>88495.574667709152</v>
      </c>
      <c r="AI7" s="42">
        <v>1279</v>
      </c>
      <c r="AJ7" s="43">
        <v>113185840</v>
      </c>
      <c r="AK7" s="150"/>
      <c r="AL7" s="154"/>
      <c r="AM7" s="41" t="s">
        <v>95</v>
      </c>
      <c r="AN7" s="42">
        <f t="shared" ref="AN7:AN38" si="14">AP7/AO7</f>
        <v>828258.16774193547</v>
      </c>
      <c r="AO7" s="42">
        <f>AR7+AU7</f>
        <v>620</v>
      </c>
      <c r="AP7" s="42">
        <f>AS7+AV7</f>
        <v>513520064</v>
      </c>
      <c r="AQ7" s="42">
        <f t="shared" ref="AQ7:AQ38" si="15">AS7/AR7</f>
        <v>859968.02356020943</v>
      </c>
      <c r="AR7" s="42">
        <v>382</v>
      </c>
      <c r="AS7" s="42">
        <v>328507785</v>
      </c>
      <c r="AT7" s="42">
        <f t="shared" ref="AT7:AT38" si="16">AV7/AU7</f>
        <v>777362.51680672274</v>
      </c>
      <c r="AU7" s="42">
        <v>238</v>
      </c>
      <c r="AV7" s="43">
        <v>185012279</v>
      </c>
      <c r="AX7" s="22"/>
    </row>
    <row r="8" spans="1:50" ht="24" customHeight="1">
      <c r="A8" s="150"/>
      <c r="B8" s="154"/>
      <c r="C8" s="41" t="s">
        <v>96</v>
      </c>
      <c r="D8" s="42">
        <f t="shared" si="0"/>
        <v>1380144.356858352</v>
      </c>
      <c r="E8" s="42">
        <f t="shared" ref="E8:F28" si="17">H8+K8</f>
        <v>16068</v>
      </c>
      <c r="F8" s="42">
        <f t="shared" si="17"/>
        <v>22176159526</v>
      </c>
      <c r="G8" s="42">
        <f t="shared" si="6"/>
        <v>1382934.7988683821</v>
      </c>
      <c r="H8" s="42">
        <v>7423</v>
      </c>
      <c r="I8" s="42">
        <v>10265525012</v>
      </c>
      <c r="J8" s="42">
        <f t="shared" si="2"/>
        <v>1377748.3532677849</v>
      </c>
      <c r="K8" s="42">
        <v>8645</v>
      </c>
      <c r="L8" s="43">
        <v>11910634514</v>
      </c>
      <c r="M8" s="150"/>
      <c r="N8" s="154"/>
      <c r="O8" s="41" t="s">
        <v>96</v>
      </c>
      <c r="P8" s="42">
        <f t="shared" si="7"/>
        <v>17429.736694711737</v>
      </c>
      <c r="Q8" s="42">
        <v>227461.25</v>
      </c>
      <c r="R8" s="42">
        <f t="shared" si="8"/>
        <v>47575076349</v>
      </c>
      <c r="S8" s="42">
        <f t="shared" si="9"/>
        <v>18421.640138150626</v>
      </c>
      <c r="T8" s="42">
        <v>106486.67</v>
      </c>
      <c r="U8" s="42">
        <v>23539909371</v>
      </c>
      <c r="V8" s="79">
        <f t="shared" si="10"/>
        <v>16556.62356091668</v>
      </c>
      <c r="W8" s="42">
        <v>120974.58</v>
      </c>
      <c r="X8" s="80">
        <v>24035166978</v>
      </c>
      <c r="Y8" s="150"/>
      <c r="Z8" s="154"/>
      <c r="AA8" s="41" t="s">
        <v>96</v>
      </c>
      <c r="AB8" s="42">
        <f t="shared" si="11"/>
        <v>100228.85326803541</v>
      </c>
      <c r="AC8" s="42">
        <f t="shared" ref="AC8:AD28" si="18">AF8+AI8</f>
        <v>5309</v>
      </c>
      <c r="AD8" s="42">
        <f t="shared" si="18"/>
        <v>532114982</v>
      </c>
      <c r="AE8" s="42">
        <f t="shared" si="12"/>
        <v>118533.09318996416</v>
      </c>
      <c r="AF8" s="42">
        <v>2511</v>
      </c>
      <c r="AG8" s="42">
        <v>297636597</v>
      </c>
      <c r="AH8" s="42">
        <f t="shared" si="13"/>
        <v>83802.139027877056</v>
      </c>
      <c r="AI8" s="42">
        <v>2798</v>
      </c>
      <c r="AJ8" s="43">
        <v>234478385</v>
      </c>
      <c r="AK8" s="150"/>
      <c r="AL8" s="154"/>
      <c r="AM8" s="41" t="s">
        <v>96</v>
      </c>
      <c r="AN8" s="42">
        <f t="shared" si="14"/>
        <v>766655.92398427264</v>
      </c>
      <c r="AO8" s="42">
        <f t="shared" ref="AO8:AP28" si="19">AR8+AU8</f>
        <v>763</v>
      </c>
      <c r="AP8" s="42">
        <f t="shared" si="19"/>
        <v>584958470</v>
      </c>
      <c r="AQ8" s="42">
        <f t="shared" si="15"/>
        <v>793888.03703703708</v>
      </c>
      <c r="AR8" s="42">
        <v>459</v>
      </c>
      <c r="AS8" s="42">
        <v>364394609</v>
      </c>
      <c r="AT8" s="42">
        <f t="shared" si="16"/>
        <v>725539.01644736843</v>
      </c>
      <c r="AU8" s="42">
        <v>304</v>
      </c>
      <c r="AV8" s="43">
        <v>220563861</v>
      </c>
      <c r="AX8" s="22"/>
    </row>
    <row r="9" spans="1:50" ht="24" customHeight="1">
      <c r="A9" s="150"/>
      <c r="B9" s="154"/>
      <c r="C9" s="41" t="s">
        <v>101</v>
      </c>
      <c r="D9" s="42">
        <f t="shared" si="0"/>
        <v>1374330.0298317545</v>
      </c>
      <c r="E9" s="42">
        <f t="shared" si="17"/>
        <v>7073</v>
      </c>
      <c r="F9" s="42">
        <f t="shared" si="17"/>
        <v>9720636301</v>
      </c>
      <c r="G9" s="42">
        <f t="shared" si="6"/>
        <v>1421749.3160580022</v>
      </c>
      <c r="H9" s="42">
        <v>3724</v>
      </c>
      <c r="I9" s="42">
        <v>5294594453</v>
      </c>
      <c r="J9" s="42">
        <f t="shared" si="2"/>
        <v>1321601.029561063</v>
      </c>
      <c r="K9" s="42">
        <v>3349</v>
      </c>
      <c r="L9" s="43">
        <v>4426041848</v>
      </c>
      <c r="M9" s="150"/>
      <c r="N9" s="154"/>
      <c r="O9" s="41" t="s">
        <v>101</v>
      </c>
      <c r="P9" s="42">
        <f t="shared" si="7"/>
        <v>17621.902776564293</v>
      </c>
      <c r="Q9" s="42">
        <v>77256.75</v>
      </c>
      <c r="R9" s="42">
        <f t="shared" si="8"/>
        <v>16336931248</v>
      </c>
      <c r="S9" s="42">
        <f t="shared" si="9"/>
        <v>19048.112216334706</v>
      </c>
      <c r="T9" s="42">
        <v>38892.080000000002</v>
      </c>
      <c r="U9" s="42">
        <v>8889848450</v>
      </c>
      <c r="V9" s="79">
        <f t="shared" si="10"/>
        <v>16176.086831104418</v>
      </c>
      <c r="W9" s="42">
        <v>38364.67</v>
      </c>
      <c r="X9" s="43">
        <v>7447082798</v>
      </c>
      <c r="Y9" s="150"/>
      <c r="Z9" s="154"/>
      <c r="AA9" s="41" t="s">
        <v>101</v>
      </c>
      <c r="AB9" s="42">
        <f t="shared" si="11"/>
        <v>107236.49326347305</v>
      </c>
      <c r="AC9" s="42">
        <f t="shared" si="18"/>
        <v>1336</v>
      </c>
      <c r="AD9" s="42">
        <f t="shared" si="18"/>
        <v>143267955</v>
      </c>
      <c r="AE9" s="42">
        <f t="shared" si="12"/>
        <v>127527.10678210678</v>
      </c>
      <c r="AF9" s="42">
        <v>693</v>
      </c>
      <c r="AG9" s="42">
        <v>88376285</v>
      </c>
      <c r="AH9" s="42">
        <f t="shared" si="13"/>
        <v>85368.07153965786</v>
      </c>
      <c r="AI9" s="42">
        <v>643</v>
      </c>
      <c r="AJ9" s="43">
        <v>54891670</v>
      </c>
      <c r="AK9" s="150"/>
      <c r="AL9" s="154"/>
      <c r="AM9" s="41" t="s">
        <v>101</v>
      </c>
      <c r="AN9" s="42">
        <f t="shared" si="14"/>
        <v>814622.80505415157</v>
      </c>
      <c r="AO9" s="42">
        <f t="shared" si="19"/>
        <v>277</v>
      </c>
      <c r="AP9" s="42">
        <f t="shared" si="19"/>
        <v>225650517</v>
      </c>
      <c r="AQ9" s="42">
        <f t="shared" si="15"/>
        <v>844930.85945945943</v>
      </c>
      <c r="AR9" s="42">
        <v>185</v>
      </c>
      <c r="AS9" s="42">
        <v>156312209</v>
      </c>
      <c r="AT9" s="42">
        <f t="shared" si="16"/>
        <v>753677.26086956519</v>
      </c>
      <c r="AU9" s="42">
        <v>92</v>
      </c>
      <c r="AV9" s="43">
        <v>69338308</v>
      </c>
      <c r="AX9" s="22"/>
    </row>
    <row r="10" spans="1:50" ht="24" customHeight="1">
      <c r="A10" s="150"/>
      <c r="B10" s="154"/>
      <c r="C10" s="41" t="s">
        <v>97</v>
      </c>
      <c r="D10" s="42">
        <f t="shared" si="0"/>
        <v>1271543.8924334908</v>
      </c>
      <c r="E10" s="42">
        <f t="shared" si="17"/>
        <v>8683</v>
      </c>
      <c r="F10" s="42">
        <f t="shared" si="17"/>
        <v>11040815618</v>
      </c>
      <c r="G10" s="42">
        <f t="shared" si="6"/>
        <v>1319205.0062822527</v>
      </c>
      <c r="H10" s="42">
        <v>4457</v>
      </c>
      <c r="I10" s="42">
        <v>5879696713</v>
      </c>
      <c r="J10" s="42">
        <f t="shared" si="2"/>
        <v>1221277.5449597728</v>
      </c>
      <c r="K10" s="42">
        <v>4226</v>
      </c>
      <c r="L10" s="43">
        <v>5161118905</v>
      </c>
      <c r="M10" s="150"/>
      <c r="N10" s="154"/>
      <c r="O10" s="41" t="s">
        <v>97</v>
      </c>
      <c r="P10" s="42">
        <f t="shared" si="7"/>
        <v>16191.076194176692</v>
      </c>
      <c r="Q10" s="42">
        <v>106266.17</v>
      </c>
      <c r="R10" s="42">
        <f t="shared" si="8"/>
        <v>20646763864</v>
      </c>
      <c r="S10" s="42">
        <f t="shared" si="9"/>
        <v>17285.17748965526</v>
      </c>
      <c r="T10" s="42">
        <v>52099.75</v>
      </c>
      <c r="U10" s="42">
        <v>10806641111</v>
      </c>
      <c r="V10" s="79">
        <f t="shared" si="10"/>
        <v>15138.719328629559</v>
      </c>
      <c r="W10" s="42">
        <v>54166.42</v>
      </c>
      <c r="X10" s="50">
        <v>9840122753</v>
      </c>
      <c r="Y10" s="150"/>
      <c r="Z10" s="154"/>
      <c r="AA10" s="41" t="s">
        <v>97</v>
      </c>
      <c r="AB10" s="42">
        <f t="shared" si="11"/>
        <v>99607.946130825134</v>
      </c>
      <c r="AC10" s="42">
        <f t="shared" si="18"/>
        <v>2339</v>
      </c>
      <c r="AD10" s="42">
        <f t="shared" si="18"/>
        <v>232982986</v>
      </c>
      <c r="AE10" s="42">
        <f t="shared" si="12"/>
        <v>119213.72758620689</v>
      </c>
      <c r="AF10" s="42">
        <v>1160</v>
      </c>
      <c r="AG10" s="42">
        <v>138287924</v>
      </c>
      <c r="AH10" s="42">
        <f t="shared" si="13"/>
        <v>80318.118744698892</v>
      </c>
      <c r="AI10" s="42">
        <v>1179</v>
      </c>
      <c r="AJ10" s="43">
        <v>94695062</v>
      </c>
      <c r="AK10" s="150"/>
      <c r="AL10" s="154"/>
      <c r="AM10" s="41" t="s">
        <v>97</v>
      </c>
      <c r="AN10" s="42">
        <f t="shared" si="14"/>
        <v>813425.74404761905</v>
      </c>
      <c r="AO10" s="42">
        <f t="shared" si="19"/>
        <v>504</v>
      </c>
      <c r="AP10" s="42">
        <f t="shared" si="19"/>
        <v>409966575</v>
      </c>
      <c r="AQ10" s="42">
        <f t="shared" si="15"/>
        <v>843420.3279742765</v>
      </c>
      <c r="AR10" s="42">
        <v>311</v>
      </c>
      <c r="AS10" s="42">
        <v>262303722</v>
      </c>
      <c r="AT10" s="42">
        <f t="shared" si="16"/>
        <v>765092.50259067363</v>
      </c>
      <c r="AU10" s="42">
        <v>193</v>
      </c>
      <c r="AV10" s="43">
        <v>147662853</v>
      </c>
      <c r="AX10" s="22"/>
    </row>
    <row r="11" spans="1:50" ht="24" customHeight="1">
      <c r="A11" s="150"/>
      <c r="B11" s="154"/>
      <c r="C11" s="41" t="s">
        <v>98</v>
      </c>
      <c r="D11" s="42">
        <f t="shared" si="0"/>
        <v>1215683.4200033229</v>
      </c>
      <c r="E11" s="42">
        <f t="shared" si="17"/>
        <v>6019</v>
      </c>
      <c r="F11" s="42">
        <f t="shared" si="17"/>
        <v>7317198505</v>
      </c>
      <c r="G11" s="42">
        <f t="shared" si="6"/>
        <v>1249179.7584589615</v>
      </c>
      <c r="H11" s="42">
        <v>2985</v>
      </c>
      <c r="I11" s="42">
        <v>3728801579</v>
      </c>
      <c r="J11" s="42">
        <f t="shared" si="2"/>
        <v>1182728.057350033</v>
      </c>
      <c r="K11" s="42">
        <v>3034</v>
      </c>
      <c r="L11" s="43">
        <v>3588396926</v>
      </c>
      <c r="M11" s="150"/>
      <c r="N11" s="154"/>
      <c r="O11" s="41" t="s">
        <v>98</v>
      </c>
      <c r="P11" s="42">
        <f t="shared" si="7"/>
        <v>15524.583794034423</v>
      </c>
      <c r="Q11" s="42">
        <v>81958.42</v>
      </c>
      <c r="R11" s="42">
        <f t="shared" si="8"/>
        <v>15268444307</v>
      </c>
      <c r="S11" s="42">
        <f t="shared" si="9"/>
        <v>16836.366158678837</v>
      </c>
      <c r="T11" s="42">
        <v>38042.25</v>
      </c>
      <c r="U11" s="42">
        <v>7685919006</v>
      </c>
      <c r="V11" s="79">
        <f t="shared" si="10"/>
        <v>14388.256271361248</v>
      </c>
      <c r="W11" s="42">
        <v>43916.17</v>
      </c>
      <c r="X11" s="43">
        <v>7582525301</v>
      </c>
      <c r="Y11" s="150"/>
      <c r="Z11" s="154"/>
      <c r="AA11" s="41" t="s">
        <v>98</v>
      </c>
      <c r="AB11" s="42">
        <f t="shared" si="11"/>
        <v>92272.801063022023</v>
      </c>
      <c r="AC11" s="42">
        <f t="shared" si="18"/>
        <v>1317</v>
      </c>
      <c r="AD11" s="42">
        <f t="shared" si="18"/>
        <v>121523279</v>
      </c>
      <c r="AE11" s="42">
        <f t="shared" si="12"/>
        <v>110096.96460176991</v>
      </c>
      <c r="AF11" s="42">
        <v>678</v>
      </c>
      <c r="AG11" s="42">
        <v>74645742</v>
      </c>
      <c r="AH11" s="42">
        <f t="shared" si="13"/>
        <v>73360.777777777781</v>
      </c>
      <c r="AI11" s="42">
        <v>639</v>
      </c>
      <c r="AJ11" s="43">
        <v>46877537</v>
      </c>
      <c r="AK11" s="150"/>
      <c r="AL11" s="154"/>
      <c r="AM11" s="41" t="s">
        <v>98</v>
      </c>
      <c r="AN11" s="42">
        <f t="shared" si="14"/>
        <v>759722.70935960591</v>
      </c>
      <c r="AO11" s="42">
        <f t="shared" si="19"/>
        <v>406</v>
      </c>
      <c r="AP11" s="42">
        <f t="shared" si="19"/>
        <v>308447420</v>
      </c>
      <c r="AQ11" s="42">
        <f t="shared" si="15"/>
        <v>798505.0728744939</v>
      </c>
      <c r="AR11" s="42">
        <v>247</v>
      </c>
      <c r="AS11" s="42">
        <v>197230753</v>
      </c>
      <c r="AT11" s="42">
        <f t="shared" si="16"/>
        <v>699475.89308176097</v>
      </c>
      <c r="AU11" s="42">
        <v>159</v>
      </c>
      <c r="AV11" s="43">
        <v>111216667</v>
      </c>
      <c r="AX11" s="22"/>
    </row>
    <row r="12" spans="1:50" ht="24" customHeight="1">
      <c r="A12" s="150"/>
      <c r="B12" s="154"/>
      <c r="C12" s="41" t="s">
        <v>99</v>
      </c>
      <c r="D12" s="42">
        <f t="shared" si="0"/>
        <v>1293699.2802252073</v>
      </c>
      <c r="E12" s="42">
        <f t="shared" si="17"/>
        <v>10124</v>
      </c>
      <c r="F12" s="42">
        <f t="shared" si="17"/>
        <v>13097411513</v>
      </c>
      <c r="G12" s="42">
        <f t="shared" si="6"/>
        <v>1297765.3561616954</v>
      </c>
      <c r="H12" s="42">
        <v>5096</v>
      </c>
      <c r="I12" s="42">
        <v>6613412255</v>
      </c>
      <c r="J12" s="42">
        <f t="shared" si="2"/>
        <v>1289578.2136038186</v>
      </c>
      <c r="K12" s="42">
        <v>5028</v>
      </c>
      <c r="L12" s="43">
        <v>6483999258</v>
      </c>
      <c r="M12" s="150"/>
      <c r="N12" s="154"/>
      <c r="O12" s="41" t="s">
        <v>99</v>
      </c>
      <c r="P12" s="42">
        <f t="shared" si="7"/>
        <v>17305.209189720659</v>
      </c>
      <c r="Q12" s="42">
        <v>144636.17000000001</v>
      </c>
      <c r="R12" s="42">
        <f t="shared" si="8"/>
        <v>30035510139</v>
      </c>
      <c r="S12" s="42">
        <f t="shared" si="9"/>
        <v>19176.051426483977</v>
      </c>
      <c r="T12" s="42">
        <v>64704.08</v>
      </c>
      <c r="U12" s="42">
        <v>14889225187</v>
      </c>
      <c r="V12" s="79">
        <f t="shared" si="10"/>
        <v>15790.786536102483</v>
      </c>
      <c r="W12" s="42">
        <v>79932.08</v>
      </c>
      <c r="X12" s="43">
        <v>15146284952</v>
      </c>
      <c r="Y12" s="150"/>
      <c r="Z12" s="154"/>
      <c r="AA12" s="41" t="s">
        <v>99</v>
      </c>
      <c r="AB12" s="42">
        <f t="shared" si="11"/>
        <v>86964.276230269272</v>
      </c>
      <c r="AC12" s="42">
        <f t="shared" si="18"/>
        <v>2154</v>
      </c>
      <c r="AD12" s="42">
        <f t="shared" si="18"/>
        <v>187321051</v>
      </c>
      <c r="AE12" s="42">
        <f t="shared" si="12"/>
        <v>110097.24975704568</v>
      </c>
      <c r="AF12" s="42">
        <v>1029</v>
      </c>
      <c r="AG12" s="42">
        <v>113290070</v>
      </c>
      <c r="AH12" s="42">
        <f t="shared" si="13"/>
        <v>65805.316444444441</v>
      </c>
      <c r="AI12" s="42">
        <v>1125</v>
      </c>
      <c r="AJ12" s="43">
        <v>74030981</v>
      </c>
      <c r="AK12" s="150"/>
      <c r="AL12" s="154"/>
      <c r="AM12" s="41" t="s">
        <v>99</v>
      </c>
      <c r="AN12" s="42">
        <f t="shared" si="14"/>
        <v>800630.20200573071</v>
      </c>
      <c r="AO12" s="42">
        <f t="shared" si="19"/>
        <v>698</v>
      </c>
      <c r="AP12" s="42">
        <f t="shared" si="19"/>
        <v>558839881</v>
      </c>
      <c r="AQ12" s="42">
        <f t="shared" si="15"/>
        <v>870822.45994832041</v>
      </c>
      <c r="AR12" s="42">
        <v>387</v>
      </c>
      <c r="AS12" s="42">
        <v>337008292</v>
      </c>
      <c r="AT12" s="42">
        <f t="shared" si="16"/>
        <v>713284.85209003219</v>
      </c>
      <c r="AU12" s="42">
        <v>311</v>
      </c>
      <c r="AV12" s="43">
        <v>221831589</v>
      </c>
      <c r="AX12" s="22"/>
    </row>
    <row r="13" spans="1:50" ht="24" customHeight="1">
      <c r="A13" s="151"/>
      <c r="B13" s="155"/>
      <c r="C13" s="44" t="s">
        <v>77</v>
      </c>
      <c r="D13" s="45">
        <f t="shared" si="0"/>
        <v>1581173.6965575861</v>
      </c>
      <c r="E13" s="45">
        <f t="shared" si="17"/>
        <v>2353</v>
      </c>
      <c r="F13" s="45">
        <f t="shared" si="17"/>
        <v>3720501708</v>
      </c>
      <c r="G13" s="45">
        <f t="shared" si="6"/>
        <v>1530679.5758139535</v>
      </c>
      <c r="H13" s="45">
        <v>1075</v>
      </c>
      <c r="I13" s="45">
        <v>1645480544</v>
      </c>
      <c r="J13" s="45">
        <f t="shared" si="2"/>
        <v>1623647.2331768388</v>
      </c>
      <c r="K13" s="45">
        <v>1278</v>
      </c>
      <c r="L13" s="46">
        <v>2075021164</v>
      </c>
      <c r="M13" s="151"/>
      <c r="N13" s="155"/>
      <c r="O13" s="44" t="s">
        <v>77</v>
      </c>
      <c r="P13" s="45">
        <f t="shared" si="7"/>
        <v>18774.352645906194</v>
      </c>
      <c r="Q13" s="45">
        <v>26878</v>
      </c>
      <c r="R13" s="45">
        <f t="shared" ref="R13:R28" si="20">U13+X13</f>
        <v>6055404605</v>
      </c>
      <c r="S13" s="45">
        <f t="shared" si="9"/>
        <v>19382.088464329368</v>
      </c>
      <c r="T13" s="45">
        <v>9959.08</v>
      </c>
      <c r="U13" s="45">
        <v>2316333235</v>
      </c>
      <c r="V13" s="81">
        <f t="shared" si="10"/>
        <v>18416.617658416337</v>
      </c>
      <c r="W13" s="45">
        <v>16918.919999999998</v>
      </c>
      <c r="X13" s="46">
        <v>3739071370</v>
      </c>
      <c r="Y13" s="151"/>
      <c r="Z13" s="155"/>
      <c r="AA13" s="44" t="s">
        <v>77</v>
      </c>
      <c r="AB13" s="45">
        <f t="shared" si="11"/>
        <v>89566.813008130077</v>
      </c>
      <c r="AC13" s="45">
        <f t="shared" si="18"/>
        <v>123</v>
      </c>
      <c r="AD13" s="45">
        <f t="shared" si="18"/>
        <v>11016718</v>
      </c>
      <c r="AE13" s="45">
        <f t="shared" si="12"/>
        <v>98479.492537313432</v>
      </c>
      <c r="AF13" s="45">
        <v>67</v>
      </c>
      <c r="AG13" s="45">
        <v>6598126</v>
      </c>
      <c r="AH13" s="45">
        <f t="shared" si="13"/>
        <v>78903.428571428565</v>
      </c>
      <c r="AI13" s="45">
        <v>56</v>
      </c>
      <c r="AJ13" s="46">
        <v>4418592</v>
      </c>
      <c r="AK13" s="151"/>
      <c r="AL13" s="155"/>
      <c r="AM13" s="44" t="s">
        <v>77</v>
      </c>
      <c r="AN13" s="45">
        <f t="shared" si="14"/>
        <v>797068.25641025638</v>
      </c>
      <c r="AO13" s="45">
        <f t="shared" si="19"/>
        <v>117</v>
      </c>
      <c r="AP13" s="45">
        <f t="shared" si="19"/>
        <v>93256986</v>
      </c>
      <c r="AQ13" s="45">
        <f t="shared" si="15"/>
        <v>757414.38805970154</v>
      </c>
      <c r="AR13" s="45">
        <v>67</v>
      </c>
      <c r="AS13" s="45">
        <v>50746764</v>
      </c>
      <c r="AT13" s="45">
        <f t="shared" si="16"/>
        <v>850204.44</v>
      </c>
      <c r="AU13" s="45">
        <v>50</v>
      </c>
      <c r="AV13" s="46">
        <v>42510222</v>
      </c>
      <c r="AX13" s="22"/>
    </row>
    <row r="14" spans="1:50" ht="24" customHeight="1">
      <c r="A14" s="151"/>
      <c r="B14" s="155"/>
      <c r="C14" s="44" t="s">
        <v>79</v>
      </c>
      <c r="D14" s="45">
        <f t="shared" si="0"/>
        <v>1443312.4182305629</v>
      </c>
      <c r="E14" s="45">
        <f t="shared" si="17"/>
        <v>1865</v>
      </c>
      <c r="F14" s="45">
        <f t="shared" si="17"/>
        <v>2691777660</v>
      </c>
      <c r="G14" s="45">
        <f t="shared" si="6"/>
        <v>1503596.3270440251</v>
      </c>
      <c r="H14" s="45">
        <v>954</v>
      </c>
      <c r="I14" s="45">
        <v>1434430896</v>
      </c>
      <c r="J14" s="45">
        <f t="shared" si="2"/>
        <v>1380183.055982437</v>
      </c>
      <c r="K14" s="45">
        <v>911</v>
      </c>
      <c r="L14" s="46">
        <v>1257346764</v>
      </c>
      <c r="M14" s="151"/>
      <c r="N14" s="155"/>
      <c r="O14" s="44" t="s">
        <v>79</v>
      </c>
      <c r="P14" s="45">
        <f t="shared" si="7"/>
        <v>18115.657968193551</v>
      </c>
      <c r="Q14" s="45">
        <v>17560.169999999998</v>
      </c>
      <c r="R14" s="45">
        <f t="shared" si="20"/>
        <v>3817368403</v>
      </c>
      <c r="S14" s="45">
        <f t="shared" si="9"/>
        <v>19156.954692423773</v>
      </c>
      <c r="T14" s="45">
        <v>8038.17</v>
      </c>
      <c r="U14" s="45">
        <v>1847842302</v>
      </c>
      <c r="V14" s="81">
        <f t="shared" si="10"/>
        <v>17236.628343135195</v>
      </c>
      <c r="W14" s="45">
        <v>9522</v>
      </c>
      <c r="X14" s="46">
        <v>1969526101</v>
      </c>
      <c r="Y14" s="151"/>
      <c r="Z14" s="155"/>
      <c r="AA14" s="44" t="s">
        <v>79</v>
      </c>
      <c r="AB14" s="45">
        <f t="shared" si="11"/>
        <v>120249.3768844221</v>
      </c>
      <c r="AC14" s="45">
        <f t="shared" si="18"/>
        <v>199</v>
      </c>
      <c r="AD14" s="45">
        <f t="shared" si="18"/>
        <v>23929626</v>
      </c>
      <c r="AE14" s="45">
        <f t="shared" si="12"/>
        <v>151871.48598130842</v>
      </c>
      <c r="AF14" s="45">
        <v>107</v>
      </c>
      <c r="AG14" s="45">
        <v>16250249</v>
      </c>
      <c r="AH14" s="45">
        <f t="shared" si="13"/>
        <v>83471.489130434784</v>
      </c>
      <c r="AI14" s="45">
        <v>92</v>
      </c>
      <c r="AJ14" s="46">
        <v>7679377</v>
      </c>
      <c r="AK14" s="151"/>
      <c r="AL14" s="155"/>
      <c r="AM14" s="44" t="s">
        <v>79</v>
      </c>
      <c r="AN14" s="45">
        <f t="shared" si="14"/>
        <v>830850.3194444445</v>
      </c>
      <c r="AO14" s="45">
        <f t="shared" si="19"/>
        <v>72</v>
      </c>
      <c r="AP14" s="45">
        <f t="shared" si="19"/>
        <v>59821223</v>
      </c>
      <c r="AQ14" s="45">
        <f t="shared" si="15"/>
        <v>927815.5555555555</v>
      </c>
      <c r="AR14" s="45">
        <v>36</v>
      </c>
      <c r="AS14" s="45">
        <v>33401360</v>
      </c>
      <c r="AT14" s="45">
        <f t="shared" si="16"/>
        <v>733885.08333333337</v>
      </c>
      <c r="AU14" s="45">
        <v>36</v>
      </c>
      <c r="AV14" s="46">
        <v>26419863</v>
      </c>
      <c r="AX14" s="22"/>
    </row>
    <row r="15" spans="1:50" ht="24" customHeight="1">
      <c r="A15" s="151"/>
      <c r="B15" s="155"/>
      <c r="C15" s="44" t="s">
        <v>80</v>
      </c>
      <c r="D15" s="45">
        <f t="shared" si="0"/>
        <v>1365927.4367245657</v>
      </c>
      <c r="E15" s="45">
        <f t="shared" si="17"/>
        <v>1612</v>
      </c>
      <c r="F15" s="45">
        <f t="shared" si="17"/>
        <v>2201875028</v>
      </c>
      <c r="G15" s="45">
        <f t="shared" si="6"/>
        <v>1387946.2977099237</v>
      </c>
      <c r="H15" s="45">
        <v>786</v>
      </c>
      <c r="I15" s="45">
        <v>1090925790</v>
      </c>
      <c r="J15" s="45">
        <f t="shared" si="2"/>
        <v>1344974.8644067796</v>
      </c>
      <c r="K15" s="45">
        <v>826</v>
      </c>
      <c r="L15" s="46">
        <v>1110949238</v>
      </c>
      <c r="M15" s="151"/>
      <c r="N15" s="155"/>
      <c r="O15" s="44" t="s">
        <v>80</v>
      </c>
      <c r="P15" s="45">
        <f t="shared" si="7"/>
        <v>17400.101846013931</v>
      </c>
      <c r="Q15" s="45">
        <v>21808.25</v>
      </c>
      <c r="R15" s="45">
        <f t="shared" si="20"/>
        <v>4553589253</v>
      </c>
      <c r="S15" s="45">
        <f t="shared" si="9"/>
        <v>18648.41566001478</v>
      </c>
      <c r="T15" s="45">
        <v>9621.83</v>
      </c>
      <c r="U15" s="45">
        <v>2153182623</v>
      </c>
      <c r="V15" s="81">
        <f t="shared" si="10"/>
        <v>16414.491362790166</v>
      </c>
      <c r="W15" s="45">
        <v>12186.42</v>
      </c>
      <c r="X15" s="46">
        <v>2400406630</v>
      </c>
      <c r="Y15" s="151"/>
      <c r="Z15" s="155"/>
      <c r="AA15" s="44" t="s">
        <v>80</v>
      </c>
      <c r="AB15" s="45">
        <f t="shared" si="11"/>
        <v>84809.482142857145</v>
      </c>
      <c r="AC15" s="45">
        <f t="shared" si="18"/>
        <v>224</v>
      </c>
      <c r="AD15" s="45">
        <f t="shared" si="18"/>
        <v>18997324</v>
      </c>
      <c r="AE15" s="45">
        <f t="shared" si="12"/>
        <v>98895.9</v>
      </c>
      <c r="AF15" s="45">
        <v>120</v>
      </c>
      <c r="AG15" s="45">
        <v>11867508</v>
      </c>
      <c r="AH15" s="45">
        <f t="shared" si="13"/>
        <v>68555.923076923078</v>
      </c>
      <c r="AI15" s="45">
        <v>104</v>
      </c>
      <c r="AJ15" s="46">
        <v>7129816</v>
      </c>
      <c r="AK15" s="151"/>
      <c r="AL15" s="155"/>
      <c r="AM15" s="44" t="s">
        <v>80</v>
      </c>
      <c r="AN15" s="45">
        <f t="shared" si="14"/>
        <v>797814.3675213675</v>
      </c>
      <c r="AO15" s="45">
        <f t="shared" si="19"/>
        <v>117</v>
      </c>
      <c r="AP15" s="45">
        <f t="shared" si="19"/>
        <v>93344281</v>
      </c>
      <c r="AQ15" s="45">
        <f t="shared" si="15"/>
        <v>794933.01449275366</v>
      </c>
      <c r="AR15" s="45">
        <v>69</v>
      </c>
      <c r="AS15" s="45">
        <v>54850378</v>
      </c>
      <c r="AT15" s="45">
        <f t="shared" si="16"/>
        <v>801956.3125</v>
      </c>
      <c r="AU15" s="45">
        <v>48</v>
      </c>
      <c r="AV15" s="46">
        <v>38493903</v>
      </c>
      <c r="AX15" s="22"/>
    </row>
    <row r="16" spans="1:50" ht="24" customHeight="1">
      <c r="A16" s="151"/>
      <c r="B16" s="155"/>
      <c r="C16" s="44" t="s">
        <v>81</v>
      </c>
      <c r="D16" s="45">
        <f t="shared" si="0"/>
        <v>1361812.9416296296</v>
      </c>
      <c r="E16" s="45">
        <f t="shared" si="17"/>
        <v>3375</v>
      </c>
      <c r="F16" s="45">
        <f t="shared" si="17"/>
        <v>4596118678</v>
      </c>
      <c r="G16" s="45">
        <f t="shared" si="6"/>
        <v>1371153.4768870685</v>
      </c>
      <c r="H16" s="45">
        <v>1709</v>
      </c>
      <c r="I16" s="45">
        <v>2343301292</v>
      </c>
      <c r="J16" s="45">
        <f t="shared" si="2"/>
        <v>1352231.3241296518</v>
      </c>
      <c r="K16" s="45">
        <v>1666</v>
      </c>
      <c r="L16" s="46">
        <v>2252817386</v>
      </c>
      <c r="M16" s="151"/>
      <c r="N16" s="155"/>
      <c r="O16" s="44" t="s">
        <v>81</v>
      </c>
      <c r="P16" s="45">
        <f t="shared" si="7"/>
        <v>16121.91419243378</v>
      </c>
      <c r="Q16" s="45">
        <v>52206.080000000002</v>
      </c>
      <c r="R16" s="45">
        <f t="shared" si="20"/>
        <v>10099943305</v>
      </c>
      <c r="S16" s="45">
        <f t="shared" si="9"/>
        <v>17207.520375519747</v>
      </c>
      <c r="T16" s="45">
        <v>24681.17</v>
      </c>
      <c r="U16" s="45">
        <v>5096420828</v>
      </c>
      <c r="V16" s="81">
        <f t="shared" si="10"/>
        <v>15148.462063347202</v>
      </c>
      <c r="W16" s="45">
        <v>27524.92</v>
      </c>
      <c r="X16" s="46">
        <v>5003522477</v>
      </c>
      <c r="Y16" s="151"/>
      <c r="Z16" s="155"/>
      <c r="AA16" s="44" t="s">
        <v>81</v>
      </c>
      <c r="AB16" s="45">
        <f t="shared" si="11"/>
        <v>89084.507343124162</v>
      </c>
      <c r="AC16" s="45">
        <f t="shared" si="18"/>
        <v>749</v>
      </c>
      <c r="AD16" s="45">
        <f t="shared" si="18"/>
        <v>66724296</v>
      </c>
      <c r="AE16" s="45">
        <f t="shared" si="12"/>
        <v>116938.03151862464</v>
      </c>
      <c r="AF16" s="45">
        <v>349</v>
      </c>
      <c r="AG16" s="45">
        <v>40811373</v>
      </c>
      <c r="AH16" s="45">
        <f t="shared" si="13"/>
        <v>64782.307500000003</v>
      </c>
      <c r="AI16" s="45">
        <v>400</v>
      </c>
      <c r="AJ16" s="46">
        <v>25912923</v>
      </c>
      <c r="AK16" s="151"/>
      <c r="AL16" s="155"/>
      <c r="AM16" s="44" t="s">
        <v>81</v>
      </c>
      <c r="AN16" s="45">
        <f t="shared" si="14"/>
        <v>758948.00381679391</v>
      </c>
      <c r="AO16" s="45">
        <f t="shared" si="19"/>
        <v>262</v>
      </c>
      <c r="AP16" s="45">
        <f t="shared" si="19"/>
        <v>198844377</v>
      </c>
      <c r="AQ16" s="45">
        <f t="shared" si="15"/>
        <v>771217.13103448274</v>
      </c>
      <c r="AR16" s="45">
        <v>145</v>
      </c>
      <c r="AS16" s="45">
        <v>111826484</v>
      </c>
      <c r="AT16" s="45">
        <f t="shared" si="16"/>
        <v>743742.67521367525</v>
      </c>
      <c r="AU16" s="45">
        <v>117</v>
      </c>
      <c r="AV16" s="46">
        <v>87017893</v>
      </c>
      <c r="AX16" s="22"/>
    </row>
    <row r="17" spans="1:50" ht="24" customHeight="1">
      <c r="A17" s="151"/>
      <c r="B17" s="155"/>
      <c r="C17" s="44" t="s">
        <v>82</v>
      </c>
      <c r="D17" s="45">
        <f t="shared" si="0"/>
        <v>1352860.7886456908</v>
      </c>
      <c r="E17" s="45">
        <f t="shared" si="17"/>
        <v>1462</v>
      </c>
      <c r="F17" s="45">
        <f t="shared" si="17"/>
        <v>1977882473</v>
      </c>
      <c r="G17" s="45">
        <f t="shared" si="6"/>
        <v>1365057.4320457797</v>
      </c>
      <c r="H17" s="45">
        <v>699</v>
      </c>
      <c r="I17" s="45">
        <v>954175145</v>
      </c>
      <c r="J17" s="45">
        <f t="shared" si="2"/>
        <v>1341687.1926605504</v>
      </c>
      <c r="K17" s="45">
        <v>763</v>
      </c>
      <c r="L17" s="46">
        <v>1023707328</v>
      </c>
      <c r="M17" s="151"/>
      <c r="N17" s="155"/>
      <c r="O17" s="44" t="s">
        <v>82</v>
      </c>
      <c r="P17" s="45">
        <f t="shared" si="7"/>
        <v>17101.072272244022</v>
      </c>
      <c r="Q17" s="45">
        <v>24662.58</v>
      </c>
      <c r="R17" s="45">
        <f t="shared" si="20"/>
        <v>5061078756</v>
      </c>
      <c r="S17" s="45">
        <f t="shared" si="9"/>
        <v>17890.92058946424</v>
      </c>
      <c r="T17" s="45">
        <v>9868.17</v>
      </c>
      <c r="U17" s="45">
        <v>2118607750</v>
      </c>
      <c r="V17" s="81">
        <f t="shared" si="10"/>
        <v>16574.216303624384</v>
      </c>
      <c r="W17" s="45">
        <v>14794.42</v>
      </c>
      <c r="X17" s="46">
        <v>2942471006</v>
      </c>
      <c r="Y17" s="151"/>
      <c r="Z17" s="155"/>
      <c r="AA17" s="44" t="s">
        <v>82</v>
      </c>
      <c r="AB17" s="45">
        <f t="shared" si="11"/>
        <v>102310.80582524271</v>
      </c>
      <c r="AC17" s="45">
        <f t="shared" si="18"/>
        <v>206</v>
      </c>
      <c r="AD17" s="45">
        <f t="shared" si="18"/>
        <v>21076026</v>
      </c>
      <c r="AE17" s="45">
        <f t="shared" si="12"/>
        <v>114297.66981132075</v>
      </c>
      <c r="AF17" s="45">
        <v>106</v>
      </c>
      <c r="AG17" s="45">
        <v>12115553</v>
      </c>
      <c r="AH17" s="45">
        <f t="shared" si="13"/>
        <v>89604.73</v>
      </c>
      <c r="AI17" s="45">
        <v>100</v>
      </c>
      <c r="AJ17" s="46">
        <v>8960473</v>
      </c>
      <c r="AK17" s="151"/>
      <c r="AL17" s="155"/>
      <c r="AM17" s="44" t="s">
        <v>82</v>
      </c>
      <c r="AN17" s="45">
        <f t="shared" si="14"/>
        <v>796576.84496124031</v>
      </c>
      <c r="AO17" s="45">
        <f t="shared" si="19"/>
        <v>129</v>
      </c>
      <c r="AP17" s="45">
        <f t="shared" si="19"/>
        <v>102758413</v>
      </c>
      <c r="AQ17" s="45">
        <f t="shared" si="15"/>
        <v>778946.98648648651</v>
      </c>
      <c r="AR17" s="45">
        <v>74</v>
      </c>
      <c r="AS17" s="45">
        <v>57642077</v>
      </c>
      <c r="AT17" s="45">
        <f t="shared" si="16"/>
        <v>820297.01818181819</v>
      </c>
      <c r="AU17" s="45">
        <v>55</v>
      </c>
      <c r="AV17" s="46">
        <v>45116336</v>
      </c>
      <c r="AX17" s="22"/>
    </row>
    <row r="18" spans="1:50" ht="24" customHeight="1">
      <c r="A18" s="151"/>
      <c r="B18" s="155"/>
      <c r="C18" s="44" t="s">
        <v>83</v>
      </c>
      <c r="D18" s="45">
        <f t="shared" si="0"/>
        <v>1391555.7649219467</v>
      </c>
      <c r="E18" s="45">
        <f t="shared" si="17"/>
        <v>2178</v>
      </c>
      <c r="F18" s="45">
        <f t="shared" si="17"/>
        <v>3030808456</v>
      </c>
      <c r="G18" s="45">
        <f t="shared" si="6"/>
        <v>1365645.4427767354</v>
      </c>
      <c r="H18" s="45">
        <v>1066</v>
      </c>
      <c r="I18" s="45">
        <v>1455778042</v>
      </c>
      <c r="J18" s="45">
        <f t="shared" si="2"/>
        <v>1416394.2571942445</v>
      </c>
      <c r="K18" s="45">
        <v>1112</v>
      </c>
      <c r="L18" s="46">
        <v>1575030414</v>
      </c>
      <c r="M18" s="151"/>
      <c r="N18" s="155"/>
      <c r="O18" s="44" t="s">
        <v>83</v>
      </c>
      <c r="P18" s="45">
        <f t="shared" si="7"/>
        <v>16433.696610515373</v>
      </c>
      <c r="Q18" s="45">
        <v>31345.67</v>
      </c>
      <c r="R18" s="45">
        <f t="shared" si="20"/>
        <v>6181502770</v>
      </c>
      <c r="S18" s="45">
        <f t="shared" si="9"/>
        <v>17491.490165288735</v>
      </c>
      <c r="T18" s="45">
        <v>13214.25</v>
      </c>
      <c r="U18" s="45">
        <v>2773643087</v>
      </c>
      <c r="V18" s="81">
        <f t="shared" si="10"/>
        <v>15662.772519563647</v>
      </c>
      <c r="W18" s="45">
        <v>18131.419999999998</v>
      </c>
      <c r="X18" s="46">
        <v>3407859683</v>
      </c>
      <c r="Y18" s="151"/>
      <c r="Z18" s="155"/>
      <c r="AA18" s="44" t="s">
        <v>83</v>
      </c>
      <c r="AB18" s="45">
        <f t="shared" si="11"/>
        <v>109164.78455284552</v>
      </c>
      <c r="AC18" s="45">
        <f t="shared" si="18"/>
        <v>246</v>
      </c>
      <c r="AD18" s="45">
        <f t="shared" si="18"/>
        <v>26854537</v>
      </c>
      <c r="AE18" s="45">
        <f t="shared" si="12"/>
        <v>131592.68181818182</v>
      </c>
      <c r="AF18" s="45">
        <v>132</v>
      </c>
      <c r="AG18" s="45">
        <v>17370234</v>
      </c>
      <c r="AH18" s="45">
        <f t="shared" si="13"/>
        <v>83195.640350877191</v>
      </c>
      <c r="AI18" s="45">
        <v>114</v>
      </c>
      <c r="AJ18" s="46">
        <v>9484303</v>
      </c>
      <c r="AK18" s="151"/>
      <c r="AL18" s="155"/>
      <c r="AM18" s="44" t="s">
        <v>83</v>
      </c>
      <c r="AN18" s="45">
        <f t="shared" si="14"/>
        <v>701862.53939393943</v>
      </c>
      <c r="AO18" s="45">
        <f t="shared" si="19"/>
        <v>165</v>
      </c>
      <c r="AP18" s="45">
        <f t="shared" si="19"/>
        <v>115807319</v>
      </c>
      <c r="AQ18" s="45">
        <f t="shared" si="15"/>
        <v>697324.48484848486</v>
      </c>
      <c r="AR18" s="45">
        <v>99</v>
      </c>
      <c r="AS18" s="45">
        <v>69035124</v>
      </c>
      <c r="AT18" s="45">
        <f t="shared" si="16"/>
        <v>708669.62121212122</v>
      </c>
      <c r="AU18" s="45">
        <v>66</v>
      </c>
      <c r="AV18" s="46">
        <v>46772195</v>
      </c>
      <c r="AX18" s="22"/>
    </row>
    <row r="19" spans="1:50" ht="24" customHeight="1">
      <c r="A19" s="151"/>
      <c r="B19" s="155"/>
      <c r="C19" s="44" t="s">
        <v>84</v>
      </c>
      <c r="D19" s="45">
        <f t="shared" si="0"/>
        <v>1282693.4294478528</v>
      </c>
      <c r="E19" s="45">
        <f t="shared" si="17"/>
        <v>978</v>
      </c>
      <c r="F19" s="45">
        <f t="shared" si="17"/>
        <v>1254474174</v>
      </c>
      <c r="G19" s="45">
        <f t="shared" si="6"/>
        <v>1295548.6018518519</v>
      </c>
      <c r="H19" s="45">
        <v>540</v>
      </c>
      <c r="I19" s="45">
        <v>699596245</v>
      </c>
      <c r="J19" s="45">
        <f t="shared" si="2"/>
        <v>1266844.5867579908</v>
      </c>
      <c r="K19" s="45">
        <v>438</v>
      </c>
      <c r="L19" s="46">
        <v>554877929</v>
      </c>
      <c r="M19" s="151"/>
      <c r="N19" s="155"/>
      <c r="O19" s="44" t="s">
        <v>84</v>
      </c>
      <c r="P19" s="45">
        <f t="shared" si="7"/>
        <v>16661.502137971376</v>
      </c>
      <c r="Q19" s="45">
        <v>11146.08</v>
      </c>
      <c r="R19" s="45">
        <f t="shared" si="20"/>
        <v>2228525229</v>
      </c>
      <c r="S19" s="45">
        <f t="shared" si="9"/>
        <v>17830.15621867797</v>
      </c>
      <c r="T19" s="45">
        <v>5204.67</v>
      </c>
      <c r="U19" s="45">
        <v>1113600950</v>
      </c>
      <c r="V19" s="81">
        <f t="shared" si="10"/>
        <v>15637.735858318942</v>
      </c>
      <c r="W19" s="45">
        <v>5941.42</v>
      </c>
      <c r="X19" s="46">
        <v>1114924279</v>
      </c>
      <c r="Y19" s="151"/>
      <c r="Z19" s="155"/>
      <c r="AA19" s="44" t="s">
        <v>84</v>
      </c>
      <c r="AB19" s="45">
        <f t="shared" si="11"/>
        <v>87765.934343434346</v>
      </c>
      <c r="AC19" s="45">
        <f t="shared" si="18"/>
        <v>198</v>
      </c>
      <c r="AD19" s="45">
        <f t="shared" si="18"/>
        <v>17377655</v>
      </c>
      <c r="AE19" s="45">
        <f t="shared" si="12"/>
        <v>107048.70588235294</v>
      </c>
      <c r="AF19" s="45">
        <v>102</v>
      </c>
      <c r="AG19" s="45">
        <v>10918968</v>
      </c>
      <c r="AH19" s="45">
        <f t="shared" si="13"/>
        <v>67277.989583333328</v>
      </c>
      <c r="AI19" s="45">
        <v>96</v>
      </c>
      <c r="AJ19" s="46">
        <v>6458687</v>
      </c>
      <c r="AK19" s="151"/>
      <c r="AL19" s="155"/>
      <c r="AM19" s="44" t="s">
        <v>84</v>
      </c>
      <c r="AN19" s="45">
        <f t="shared" si="14"/>
        <v>760559.31578947371</v>
      </c>
      <c r="AO19" s="45">
        <f t="shared" si="19"/>
        <v>76</v>
      </c>
      <c r="AP19" s="45">
        <f t="shared" si="19"/>
        <v>57802508</v>
      </c>
      <c r="AQ19" s="45">
        <f t="shared" si="15"/>
        <v>794254.53191489365</v>
      </c>
      <c r="AR19" s="45">
        <v>47</v>
      </c>
      <c r="AS19" s="45">
        <v>37329963</v>
      </c>
      <c r="AT19" s="45">
        <f t="shared" si="16"/>
        <v>705949.82758620684</v>
      </c>
      <c r="AU19" s="45">
        <v>29</v>
      </c>
      <c r="AV19" s="46">
        <v>20472545</v>
      </c>
      <c r="AX19" s="22"/>
    </row>
    <row r="20" spans="1:50" ht="24" customHeight="1">
      <c r="A20" s="151"/>
      <c r="B20" s="155"/>
      <c r="C20" s="44" t="s">
        <v>85</v>
      </c>
      <c r="D20" s="45">
        <f t="shared" si="0"/>
        <v>1246969.4390537289</v>
      </c>
      <c r="E20" s="45">
        <f t="shared" si="17"/>
        <v>2494</v>
      </c>
      <c r="F20" s="45">
        <f t="shared" si="17"/>
        <v>3109941781</v>
      </c>
      <c r="G20" s="45">
        <f t="shared" si="6"/>
        <v>1221609.071663921</v>
      </c>
      <c r="H20" s="45">
        <v>1214</v>
      </c>
      <c r="I20" s="45">
        <v>1483033413</v>
      </c>
      <c r="J20" s="45">
        <f t="shared" si="2"/>
        <v>1271022.1625000001</v>
      </c>
      <c r="K20" s="45">
        <v>1280</v>
      </c>
      <c r="L20" s="46">
        <v>1626908368</v>
      </c>
      <c r="M20" s="151"/>
      <c r="N20" s="155"/>
      <c r="O20" s="44" t="s">
        <v>85</v>
      </c>
      <c r="P20" s="45">
        <f t="shared" si="7"/>
        <v>16015.463537990348</v>
      </c>
      <c r="Q20" s="45">
        <v>29779.58</v>
      </c>
      <c r="R20" s="45">
        <f t="shared" si="20"/>
        <v>5723205332</v>
      </c>
      <c r="S20" s="45">
        <f t="shared" si="9"/>
        <v>17012.591662467668</v>
      </c>
      <c r="T20" s="45">
        <v>12403.75</v>
      </c>
      <c r="U20" s="45">
        <v>2532239206</v>
      </c>
      <c r="V20" s="81">
        <f t="shared" si="10"/>
        <v>15303.662837017473</v>
      </c>
      <c r="W20" s="45">
        <v>17375.830000000002</v>
      </c>
      <c r="X20" s="46">
        <v>3190966126</v>
      </c>
      <c r="Y20" s="151"/>
      <c r="Z20" s="155"/>
      <c r="AA20" s="44" t="s">
        <v>85</v>
      </c>
      <c r="AB20" s="45">
        <f t="shared" si="11"/>
        <v>89728.903703703705</v>
      </c>
      <c r="AC20" s="45">
        <f t="shared" si="18"/>
        <v>405</v>
      </c>
      <c r="AD20" s="45">
        <f t="shared" si="18"/>
        <v>36340206</v>
      </c>
      <c r="AE20" s="45">
        <f t="shared" si="12"/>
        <v>105273.07653061225</v>
      </c>
      <c r="AF20" s="45">
        <v>196</v>
      </c>
      <c r="AG20" s="45">
        <v>20633523</v>
      </c>
      <c r="AH20" s="45">
        <f t="shared" si="13"/>
        <v>75151.593301435409</v>
      </c>
      <c r="AI20" s="45">
        <v>209</v>
      </c>
      <c r="AJ20" s="46">
        <v>15706683</v>
      </c>
      <c r="AK20" s="151"/>
      <c r="AL20" s="155"/>
      <c r="AM20" s="44" t="s">
        <v>85</v>
      </c>
      <c r="AN20" s="45">
        <f t="shared" si="14"/>
        <v>794565.62237762241</v>
      </c>
      <c r="AO20" s="45">
        <f t="shared" si="19"/>
        <v>143</v>
      </c>
      <c r="AP20" s="45">
        <f t="shared" si="19"/>
        <v>113622884</v>
      </c>
      <c r="AQ20" s="45">
        <f t="shared" si="15"/>
        <v>852861.6626506024</v>
      </c>
      <c r="AR20" s="45">
        <v>83</v>
      </c>
      <c r="AS20" s="45">
        <v>70787518</v>
      </c>
      <c r="AT20" s="45">
        <f t="shared" si="16"/>
        <v>713922.76666666672</v>
      </c>
      <c r="AU20" s="45">
        <v>60</v>
      </c>
      <c r="AV20" s="46">
        <v>42835366</v>
      </c>
      <c r="AX20" s="22"/>
    </row>
    <row r="21" spans="1:50" ht="24" customHeight="1">
      <c r="A21" s="151"/>
      <c r="B21" s="155"/>
      <c r="C21" s="44" t="s">
        <v>86</v>
      </c>
      <c r="D21" s="45">
        <f t="shared" si="0"/>
        <v>1124657.2087542089</v>
      </c>
      <c r="E21" s="45">
        <f t="shared" si="17"/>
        <v>594</v>
      </c>
      <c r="F21" s="45">
        <f t="shared" si="17"/>
        <v>668046382</v>
      </c>
      <c r="G21" s="45">
        <f t="shared" si="6"/>
        <v>1214682.633898305</v>
      </c>
      <c r="H21" s="45">
        <v>295</v>
      </c>
      <c r="I21" s="45">
        <v>358331377</v>
      </c>
      <c r="J21" s="45">
        <f t="shared" si="2"/>
        <v>1035836.1371237459</v>
      </c>
      <c r="K21" s="45">
        <v>299</v>
      </c>
      <c r="L21" s="46">
        <v>309715005</v>
      </c>
      <c r="M21" s="151"/>
      <c r="N21" s="155"/>
      <c r="O21" s="44" t="s">
        <v>86</v>
      </c>
      <c r="P21" s="45">
        <f t="shared" si="7"/>
        <v>16277.703992963941</v>
      </c>
      <c r="Q21" s="45">
        <v>7106.25</v>
      </c>
      <c r="R21" s="45">
        <f t="shared" si="20"/>
        <v>1388081208</v>
      </c>
      <c r="S21" s="45">
        <f t="shared" si="9"/>
        <v>17388.686832970165</v>
      </c>
      <c r="T21" s="45">
        <v>2785.67</v>
      </c>
      <c r="U21" s="45">
        <v>581269719</v>
      </c>
      <c r="V21" s="81">
        <f t="shared" si="10"/>
        <v>15561.403966597078</v>
      </c>
      <c r="W21" s="45">
        <v>4320.58</v>
      </c>
      <c r="X21" s="46">
        <v>806811489</v>
      </c>
      <c r="Y21" s="151"/>
      <c r="Z21" s="155"/>
      <c r="AA21" s="44" t="s">
        <v>86</v>
      </c>
      <c r="AB21" s="45">
        <f t="shared" si="11"/>
        <v>89170.319587628866</v>
      </c>
      <c r="AC21" s="45">
        <f t="shared" si="18"/>
        <v>97</v>
      </c>
      <c r="AD21" s="45">
        <f t="shared" si="18"/>
        <v>8649521</v>
      </c>
      <c r="AE21" s="45">
        <f t="shared" si="12"/>
        <v>107596.68253968254</v>
      </c>
      <c r="AF21" s="45">
        <v>63</v>
      </c>
      <c r="AG21" s="45">
        <v>6778591</v>
      </c>
      <c r="AH21" s="45">
        <f t="shared" si="13"/>
        <v>55027.352941176468</v>
      </c>
      <c r="AI21" s="45">
        <v>34</v>
      </c>
      <c r="AJ21" s="46">
        <v>1870930</v>
      </c>
      <c r="AK21" s="151"/>
      <c r="AL21" s="155"/>
      <c r="AM21" s="44" t="s">
        <v>86</v>
      </c>
      <c r="AN21" s="45">
        <f t="shared" si="14"/>
        <v>810454.87804878049</v>
      </c>
      <c r="AO21" s="45">
        <f t="shared" si="19"/>
        <v>41</v>
      </c>
      <c r="AP21" s="45">
        <f t="shared" si="19"/>
        <v>33228650</v>
      </c>
      <c r="AQ21" s="45">
        <f t="shared" si="15"/>
        <v>806688.09523809527</v>
      </c>
      <c r="AR21" s="45">
        <v>21</v>
      </c>
      <c r="AS21" s="45">
        <v>16940450</v>
      </c>
      <c r="AT21" s="45">
        <f t="shared" si="16"/>
        <v>814410</v>
      </c>
      <c r="AU21" s="45">
        <v>20</v>
      </c>
      <c r="AV21" s="46">
        <v>16288200</v>
      </c>
      <c r="AX21" s="22"/>
    </row>
    <row r="22" spans="1:50" ht="24" customHeight="1">
      <c r="A22" s="151"/>
      <c r="B22" s="155"/>
      <c r="C22" s="44" t="s">
        <v>87</v>
      </c>
      <c r="D22" s="45">
        <f t="shared" si="0"/>
        <v>1247736.5158339199</v>
      </c>
      <c r="E22" s="45">
        <f t="shared" si="17"/>
        <v>1421</v>
      </c>
      <c r="F22" s="45">
        <f t="shared" si="17"/>
        <v>1773033589</v>
      </c>
      <c r="G22" s="45">
        <f t="shared" si="6"/>
        <v>1239813.6559766764</v>
      </c>
      <c r="H22" s="45">
        <v>686</v>
      </c>
      <c r="I22" s="45">
        <v>850512168</v>
      </c>
      <c r="J22" s="45">
        <f t="shared" si="2"/>
        <v>1255131.1850340136</v>
      </c>
      <c r="K22" s="45">
        <v>735</v>
      </c>
      <c r="L22" s="46">
        <v>922521421</v>
      </c>
      <c r="M22" s="151"/>
      <c r="N22" s="155"/>
      <c r="O22" s="44" t="s">
        <v>87</v>
      </c>
      <c r="P22" s="45">
        <f t="shared" si="7"/>
        <v>17786.99187126409</v>
      </c>
      <c r="Q22" s="45">
        <v>16618</v>
      </c>
      <c r="R22" s="45">
        <f t="shared" si="20"/>
        <v>3547010771</v>
      </c>
      <c r="S22" s="45">
        <f t="shared" si="9"/>
        <v>19086.454446641266</v>
      </c>
      <c r="T22" s="45">
        <v>6590.33</v>
      </c>
      <c r="U22" s="45">
        <v>1509432400</v>
      </c>
      <c r="V22" s="81">
        <f t="shared" si="10"/>
        <v>16932.966240745191</v>
      </c>
      <c r="W22" s="45">
        <v>10027.67</v>
      </c>
      <c r="X22" s="46">
        <v>2037578371</v>
      </c>
      <c r="Y22" s="151"/>
      <c r="Z22" s="155"/>
      <c r="AA22" s="44" t="s">
        <v>87</v>
      </c>
      <c r="AB22" s="45">
        <f t="shared" si="11"/>
        <v>112620.48314606742</v>
      </c>
      <c r="AC22" s="45">
        <f t="shared" si="18"/>
        <v>178</v>
      </c>
      <c r="AD22" s="45">
        <f t="shared" si="18"/>
        <v>20046446</v>
      </c>
      <c r="AE22" s="45">
        <f t="shared" si="12"/>
        <v>123058.76923076923</v>
      </c>
      <c r="AF22" s="45">
        <v>104</v>
      </c>
      <c r="AG22" s="45">
        <v>12798112</v>
      </c>
      <c r="AH22" s="45">
        <f t="shared" si="13"/>
        <v>97950.459459459453</v>
      </c>
      <c r="AI22" s="45">
        <v>74</v>
      </c>
      <c r="AJ22" s="46">
        <v>7248334</v>
      </c>
      <c r="AK22" s="151"/>
      <c r="AL22" s="155"/>
      <c r="AM22" s="44" t="s">
        <v>87</v>
      </c>
      <c r="AN22" s="45">
        <f t="shared" si="14"/>
        <v>844480.81818181823</v>
      </c>
      <c r="AO22" s="45">
        <f t="shared" si="19"/>
        <v>99</v>
      </c>
      <c r="AP22" s="45">
        <f t="shared" si="19"/>
        <v>83603601</v>
      </c>
      <c r="AQ22" s="45">
        <f t="shared" si="15"/>
        <v>905695.3518518518</v>
      </c>
      <c r="AR22" s="45">
        <v>54</v>
      </c>
      <c r="AS22" s="45">
        <v>48907549</v>
      </c>
      <c r="AT22" s="45">
        <f t="shared" si="16"/>
        <v>771023.37777777773</v>
      </c>
      <c r="AU22" s="45">
        <v>45</v>
      </c>
      <c r="AV22" s="46">
        <v>34696052</v>
      </c>
      <c r="AX22" s="22"/>
    </row>
    <row r="23" spans="1:50" ht="24" customHeight="1">
      <c r="A23" s="151"/>
      <c r="B23" s="155"/>
      <c r="C23" s="44" t="s">
        <v>88</v>
      </c>
      <c r="D23" s="45">
        <f t="shared" si="0"/>
        <v>1310483.0208877285</v>
      </c>
      <c r="E23" s="45">
        <f t="shared" si="17"/>
        <v>383</v>
      </c>
      <c r="F23" s="45">
        <f t="shared" si="17"/>
        <v>501914997</v>
      </c>
      <c r="G23" s="45">
        <f t="shared" si="6"/>
        <v>1235393.4099999999</v>
      </c>
      <c r="H23" s="45">
        <v>200</v>
      </c>
      <c r="I23" s="45">
        <v>247078682</v>
      </c>
      <c r="J23" s="45">
        <f t="shared" si="2"/>
        <v>1392548.1693989071</v>
      </c>
      <c r="K23" s="45">
        <v>183</v>
      </c>
      <c r="L23" s="46">
        <v>254836315</v>
      </c>
      <c r="M23" s="151"/>
      <c r="N23" s="155"/>
      <c r="O23" s="44" t="s">
        <v>88</v>
      </c>
      <c r="P23" s="45">
        <f t="shared" si="7"/>
        <v>17205.486418315872</v>
      </c>
      <c r="Q23" s="45">
        <v>3865.5</v>
      </c>
      <c r="R23" s="45">
        <f t="shared" si="20"/>
        <v>798093693</v>
      </c>
      <c r="S23" s="45">
        <f t="shared" si="9"/>
        <v>18168.632920110194</v>
      </c>
      <c r="T23" s="45">
        <v>1452</v>
      </c>
      <c r="U23" s="45">
        <v>316570260</v>
      </c>
      <c r="V23" s="81">
        <f t="shared" si="10"/>
        <v>16626.0421586907</v>
      </c>
      <c r="W23" s="45">
        <v>2413.5</v>
      </c>
      <c r="X23" s="46">
        <v>481523433</v>
      </c>
      <c r="Y23" s="151"/>
      <c r="Z23" s="155"/>
      <c r="AA23" s="44" t="s">
        <v>88</v>
      </c>
      <c r="AB23" s="45">
        <f t="shared" si="11"/>
        <v>107301.39130434782</v>
      </c>
      <c r="AC23" s="45">
        <f t="shared" si="18"/>
        <v>23</v>
      </c>
      <c r="AD23" s="45">
        <f t="shared" si="18"/>
        <v>2467932</v>
      </c>
      <c r="AE23" s="45">
        <f t="shared" si="12"/>
        <v>129914.85714285714</v>
      </c>
      <c r="AF23" s="45">
        <v>14</v>
      </c>
      <c r="AG23" s="45">
        <v>1818808</v>
      </c>
      <c r="AH23" s="45">
        <f t="shared" si="13"/>
        <v>72124.888888888891</v>
      </c>
      <c r="AI23" s="45">
        <v>9</v>
      </c>
      <c r="AJ23" s="46">
        <v>649124</v>
      </c>
      <c r="AK23" s="151"/>
      <c r="AL23" s="155"/>
      <c r="AM23" s="44" t="s">
        <v>88</v>
      </c>
      <c r="AN23" s="45">
        <f t="shared" si="14"/>
        <v>732749</v>
      </c>
      <c r="AO23" s="45">
        <f t="shared" si="19"/>
        <v>8</v>
      </c>
      <c r="AP23" s="45">
        <f t="shared" si="19"/>
        <v>5861992</v>
      </c>
      <c r="AQ23" s="45">
        <f t="shared" si="15"/>
        <v>785626</v>
      </c>
      <c r="AR23" s="45">
        <v>3</v>
      </c>
      <c r="AS23" s="45">
        <v>2356878</v>
      </c>
      <c r="AT23" s="45">
        <f t="shared" si="16"/>
        <v>701022.8</v>
      </c>
      <c r="AU23" s="45">
        <v>5</v>
      </c>
      <c r="AV23" s="46">
        <v>3505114</v>
      </c>
      <c r="AX23" s="22"/>
    </row>
    <row r="24" spans="1:50" ht="24" customHeight="1">
      <c r="A24" s="151"/>
      <c r="B24" s="155"/>
      <c r="C24" s="44" t="s">
        <v>89</v>
      </c>
      <c r="D24" s="45">
        <f t="shared" si="0"/>
        <v>1476057.8386620758</v>
      </c>
      <c r="E24" s="45">
        <f t="shared" si="17"/>
        <v>2033</v>
      </c>
      <c r="F24" s="45">
        <f t="shared" si="17"/>
        <v>3000825586</v>
      </c>
      <c r="G24" s="45">
        <f t="shared" si="6"/>
        <v>1445857.1056829512</v>
      </c>
      <c r="H24" s="45">
        <v>1003</v>
      </c>
      <c r="I24" s="45">
        <v>1450194677</v>
      </c>
      <c r="J24" s="45">
        <f t="shared" si="2"/>
        <v>1505466.9019417476</v>
      </c>
      <c r="K24" s="45">
        <v>1030</v>
      </c>
      <c r="L24" s="46">
        <v>1550630909</v>
      </c>
      <c r="M24" s="151"/>
      <c r="N24" s="155"/>
      <c r="O24" s="44" t="s">
        <v>89</v>
      </c>
      <c r="P24" s="45">
        <f t="shared" si="7"/>
        <v>18839.99480909657</v>
      </c>
      <c r="Q24" s="45">
        <v>24353.5</v>
      </c>
      <c r="R24" s="45">
        <f t="shared" si="20"/>
        <v>5505837763</v>
      </c>
      <c r="S24" s="45">
        <f t="shared" si="9"/>
        <v>19761.248793296658</v>
      </c>
      <c r="T24" s="45">
        <v>9274.58</v>
      </c>
      <c r="U24" s="45">
        <v>2199327394</v>
      </c>
      <c r="V24" s="81">
        <f t="shared" si="10"/>
        <v>18273.359812904371</v>
      </c>
      <c r="W24" s="45">
        <v>15078.92</v>
      </c>
      <c r="X24" s="46">
        <v>3306510369</v>
      </c>
      <c r="Y24" s="151"/>
      <c r="Z24" s="155"/>
      <c r="AA24" s="44" t="s">
        <v>89</v>
      </c>
      <c r="AB24" s="45">
        <f t="shared" si="11"/>
        <v>105477.83870967742</v>
      </c>
      <c r="AC24" s="45">
        <f t="shared" si="18"/>
        <v>186</v>
      </c>
      <c r="AD24" s="45">
        <f t="shared" si="18"/>
        <v>19618878</v>
      </c>
      <c r="AE24" s="45">
        <f t="shared" si="12"/>
        <v>127868.16</v>
      </c>
      <c r="AF24" s="45">
        <v>100</v>
      </c>
      <c r="AG24" s="45">
        <v>12786816</v>
      </c>
      <c r="AH24" s="45">
        <f t="shared" si="13"/>
        <v>79442.58139534884</v>
      </c>
      <c r="AI24" s="45">
        <v>86</v>
      </c>
      <c r="AJ24" s="46">
        <v>6832062</v>
      </c>
      <c r="AK24" s="151"/>
      <c r="AL24" s="155"/>
      <c r="AM24" s="44" t="s">
        <v>89</v>
      </c>
      <c r="AN24" s="45">
        <f t="shared" si="14"/>
        <v>944853.89344262297</v>
      </c>
      <c r="AO24" s="45">
        <f t="shared" si="19"/>
        <v>122</v>
      </c>
      <c r="AP24" s="45">
        <f t="shared" si="19"/>
        <v>115272175</v>
      </c>
      <c r="AQ24" s="45">
        <f t="shared" si="15"/>
        <v>990462.109375</v>
      </c>
      <c r="AR24" s="45">
        <v>64</v>
      </c>
      <c r="AS24" s="45">
        <v>63389575</v>
      </c>
      <c r="AT24" s="45">
        <f t="shared" si="16"/>
        <v>894527.58620689658</v>
      </c>
      <c r="AU24" s="45">
        <v>58</v>
      </c>
      <c r="AV24" s="46">
        <v>51882600</v>
      </c>
      <c r="AX24" s="22"/>
    </row>
    <row r="25" spans="1:50" ht="24" customHeight="1">
      <c r="A25" s="151"/>
      <c r="B25" s="155"/>
      <c r="C25" s="44" t="s">
        <v>90</v>
      </c>
      <c r="D25" s="45">
        <f t="shared" si="0"/>
        <v>1414068.7702564104</v>
      </c>
      <c r="E25" s="45">
        <f t="shared" si="17"/>
        <v>1950</v>
      </c>
      <c r="F25" s="45">
        <f t="shared" si="17"/>
        <v>2757434102</v>
      </c>
      <c r="G25" s="45">
        <f t="shared" si="6"/>
        <v>1413962.9208333334</v>
      </c>
      <c r="H25" s="45">
        <v>960</v>
      </c>
      <c r="I25" s="45">
        <v>1357404404</v>
      </c>
      <c r="J25" s="45">
        <f t="shared" si="2"/>
        <v>1414171.4121212121</v>
      </c>
      <c r="K25" s="45">
        <v>990</v>
      </c>
      <c r="L25" s="46">
        <v>1400029698</v>
      </c>
      <c r="M25" s="151"/>
      <c r="N25" s="155"/>
      <c r="O25" s="44" t="s">
        <v>90</v>
      </c>
      <c r="P25" s="45">
        <f t="shared" si="7"/>
        <v>17516.664676584649</v>
      </c>
      <c r="Q25" s="45">
        <v>20350.919999999998</v>
      </c>
      <c r="R25" s="45">
        <f t="shared" si="20"/>
        <v>4277762898</v>
      </c>
      <c r="S25" s="45">
        <f t="shared" si="9"/>
        <v>18363.438847522899</v>
      </c>
      <c r="T25" s="45">
        <v>9434.75</v>
      </c>
      <c r="U25" s="45">
        <v>2079053456</v>
      </c>
      <c r="V25" s="81">
        <f t="shared" si="10"/>
        <v>16784.805186556579</v>
      </c>
      <c r="W25" s="45">
        <v>10916.17</v>
      </c>
      <c r="X25" s="46">
        <v>2198709442</v>
      </c>
      <c r="Y25" s="151"/>
      <c r="Z25" s="155"/>
      <c r="AA25" s="44" t="s">
        <v>90</v>
      </c>
      <c r="AB25" s="45">
        <f t="shared" si="11"/>
        <v>111225.00873362445</v>
      </c>
      <c r="AC25" s="45">
        <f t="shared" si="18"/>
        <v>229</v>
      </c>
      <c r="AD25" s="45">
        <f t="shared" si="18"/>
        <v>25470527</v>
      </c>
      <c r="AE25" s="45">
        <f t="shared" si="12"/>
        <v>120468.47580645161</v>
      </c>
      <c r="AF25" s="45">
        <v>124</v>
      </c>
      <c r="AG25" s="45">
        <v>14938091</v>
      </c>
      <c r="AH25" s="45">
        <f t="shared" si="13"/>
        <v>100308.91428571429</v>
      </c>
      <c r="AI25" s="45">
        <v>105</v>
      </c>
      <c r="AJ25" s="46">
        <v>10532436</v>
      </c>
      <c r="AK25" s="151"/>
      <c r="AL25" s="155"/>
      <c r="AM25" s="44" t="s">
        <v>90</v>
      </c>
      <c r="AN25" s="45">
        <f t="shared" si="14"/>
        <v>787232.02409638558</v>
      </c>
      <c r="AO25" s="45">
        <f t="shared" si="19"/>
        <v>83</v>
      </c>
      <c r="AP25" s="45">
        <f t="shared" si="19"/>
        <v>65340258</v>
      </c>
      <c r="AQ25" s="45">
        <f t="shared" si="15"/>
        <v>819013.10909090913</v>
      </c>
      <c r="AR25" s="45">
        <v>55</v>
      </c>
      <c r="AS25" s="45">
        <v>45045721</v>
      </c>
      <c r="AT25" s="45">
        <f t="shared" si="16"/>
        <v>724804.89285714284</v>
      </c>
      <c r="AU25" s="45">
        <v>28</v>
      </c>
      <c r="AV25" s="46">
        <v>20294537</v>
      </c>
      <c r="AX25" s="22"/>
    </row>
    <row r="26" spans="1:50" ht="24" customHeight="1">
      <c r="A26" s="151"/>
      <c r="B26" s="155"/>
      <c r="C26" s="44" t="s">
        <v>91</v>
      </c>
      <c r="D26" s="45">
        <f t="shared" si="0"/>
        <v>1429800.9335260116</v>
      </c>
      <c r="E26" s="45">
        <f t="shared" si="17"/>
        <v>1384</v>
      </c>
      <c r="F26" s="45">
        <f t="shared" si="17"/>
        <v>1978844492</v>
      </c>
      <c r="G26" s="45">
        <f t="shared" si="6"/>
        <v>1397723.1037463977</v>
      </c>
      <c r="H26" s="45">
        <v>694</v>
      </c>
      <c r="I26" s="45">
        <v>970019834</v>
      </c>
      <c r="J26" s="45">
        <f t="shared" si="2"/>
        <v>1462064.7217391303</v>
      </c>
      <c r="K26" s="45">
        <v>690</v>
      </c>
      <c r="L26" s="46">
        <v>1008824658</v>
      </c>
      <c r="M26" s="151"/>
      <c r="N26" s="155"/>
      <c r="O26" s="44" t="s">
        <v>91</v>
      </c>
      <c r="P26" s="45">
        <f t="shared" si="7"/>
        <v>17055.061014175128</v>
      </c>
      <c r="Q26" s="45">
        <v>21413.33</v>
      </c>
      <c r="R26" s="45">
        <f t="shared" si="20"/>
        <v>4382467796</v>
      </c>
      <c r="S26" s="45">
        <f t="shared" si="9"/>
        <v>17772.576646994126</v>
      </c>
      <c r="T26" s="45">
        <v>9176.92</v>
      </c>
      <c r="U26" s="45">
        <v>1957170169</v>
      </c>
      <c r="V26" s="81">
        <f t="shared" si="10"/>
        <v>16516.933513505857</v>
      </c>
      <c r="W26" s="45">
        <v>12236.42</v>
      </c>
      <c r="X26" s="46">
        <v>2425297627</v>
      </c>
      <c r="Y26" s="151"/>
      <c r="Z26" s="155"/>
      <c r="AA26" s="44" t="s">
        <v>91</v>
      </c>
      <c r="AB26" s="45">
        <f t="shared" si="11"/>
        <v>72093.740740740745</v>
      </c>
      <c r="AC26" s="45">
        <f t="shared" si="18"/>
        <v>243</v>
      </c>
      <c r="AD26" s="45">
        <f t="shared" si="18"/>
        <v>17518779</v>
      </c>
      <c r="AE26" s="45">
        <f t="shared" si="12"/>
        <v>90986.203539823007</v>
      </c>
      <c r="AF26" s="45">
        <v>113</v>
      </c>
      <c r="AG26" s="45">
        <v>10281441</v>
      </c>
      <c r="AH26" s="45">
        <f t="shared" si="13"/>
        <v>55671.830769230772</v>
      </c>
      <c r="AI26" s="45">
        <v>130</v>
      </c>
      <c r="AJ26" s="46">
        <v>7237338</v>
      </c>
      <c r="AK26" s="151"/>
      <c r="AL26" s="155"/>
      <c r="AM26" s="44" t="s">
        <v>91</v>
      </c>
      <c r="AN26" s="45">
        <f t="shared" si="14"/>
        <v>781459.44827586203</v>
      </c>
      <c r="AO26" s="45">
        <f t="shared" si="19"/>
        <v>116</v>
      </c>
      <c r="AP26" s="45">
        <f t="shared" si="19"/>
        <v>90649296</v>
      </c>
      <c r="AQ26" s="45">
        <f t="shared" si="15"/>
        <v>779986.5</v>
      </c>
      <c r="AR26" s="45">
        <v>70</v>
      </c>
      <c r="AS26" s="45">
        <v>54599055</v>
      </c>
      <c r="AT26" s="45">
        <f t="shared" si="16"/>
        <v>783700.89130434778</v>
      </c>
      <c r="AU26" s="45">
        <v>46</v>
      </c>
      <c r="AV26" s="46">
        <v>36050241</v>
      </c>
      <c r="AX26" s="22"/>
    </row>
    <row r="27" spans="1:50" ht="24" customHeight="1">
      <c r="A27" s="151"/>
      <c r="B27" s="155"/>
      <c r="C27" s="44" t="s">
        <v>92</v>
      </c>
      <c r="D27" s="45">
        <f t="shared" si="0"/>
        <v>1270683.1751824818</v>
      </c>
      <c r="E27" s="45">
        <f t="shared" si="17"/>
        <v>137</v>
      </c>
      <c r="F27" s="45">
        <f t="shared" si="17"/>
        <v>174083595</v>
      </c>
      <c r="G27" s="45">
        <f t="shared" si="6"/>
        <v>1377901.8333333333</v>
      </c>
      <c r="H27" s="45">
        <v>84</v>
      </c>
      <c r="I27" s="45">
        <v>115743754</v>
      </c>
      <c r="J27" s="45">
        <f t="shared" si="2"/>
        <v>1100751.716981132</v>
      </c>
      <c r="K27" s="45">
        <v>53</v>
      </c>
      <c r="L27" s="46">
        <v>58339841</v>
      </c>
      <c r="M27" s="151"/>
      <c r="N27" s="155"/>
      <c r="O27" s="44" t="s">
        <v>92</v>
      </c>
      <c r="P27" s="45">
        <f t="shared" si="7"/>
        <v>18716.609472374843</v>
      </c>
      <c r="Q27" s="45">
        <v>2133.08</v>
      </c>
      <c r="R27" s="45">
        <f t="shared" si="20"/>
        <v>479088304</v>
      </c>
      <c r="S27" s="45">
        <f t="shared" si="9"/>
        <v>21691.784065881449</v>
      </c>
      <c r="T27" s="45">
        <v>870.25</v>
      </c>
      <c r="U27" s="45">
        <v>226527301</v>
      </c>
      <c r="V27" s="81">
        <f t="shared" si="10"/>
        <v>16666.336917874931</v>
      </c>
      <c r="W27" s="45">
        <v>1262.83</v>
      </c>
      <c r="X27" s="46">
        <v>252561003</v>
      </c>
      <c r="Y27" s="151"/>
      <c r="Z27" s="155"/>
      <c r="AA27" s="44" t="s">
        <v>92</v>
      </c>
      <c r="AB27" s="45">
        <f t="shared" si="11"/>
        <v>124791.25</v>
      </c>
      <c r="AC27" s="45">
        <f t="shared" si="18"/>
        <v>16</v>
      </c>
      <c r="AD27" s="45">
        <f t="shared" si="18"/>
        <v>1996660</v>
      </c>
      <c r="AE27" s="45">
        <f t="shared" si="12"/>
        <v>180833.5</v>
      </c>
      <c r="AF27" s="45">
        <v>6</v>
      </c>
      <c r="AG27" s="45">
        <v>1085001</v>
      </c>
      <c r="AH27" s="45">
        <f t="shared" si="13"/>
        <v>91165.9</v>
      </c>
      <c r="AI27" s="45">
        <v>10</v>
      </c>
      <c r="AJ27" s="46">
        <v>911659</v>
      </c>
      <c r="AK27" s="151"/>
      <c r="AL27" s="155"/>
      <c r="AM27" s="44" t="s">
        <v>92</v>
      </c>
      <c r="AN27" s="45">
        <f t="shared" si="14"/>
        <v>584818.33333333337</v>
      </c>
      <c r="AO27" s="45">
        <f t="shared" si="19"/>
        <v>9</v>
      </c>
      <c r="AP27" s="45">
        <f t="shared" si="19"/>
        <v>5263365</v>
      </c>
      <c r="AQ27" s="45">
        <f t="shared" si="15"/>
        <v>348670.33333333331</v>
      </c>
      <c r="AR27" s="45">
        <v>3</v>
      </c>
      <c r="AS27" s="45">
        <v>1046011</v>
      </c>
      <c r="AT27" s="45">
        <f t="shared" si="16"/>
        <v>702892.33333333337</v>
      </c>
      <c r="AU27" s="45">
        <v>6</v>
      </c>
      <c r="AV27" s="46">
        <v>4217354</v>
      </c>
      <c r="AX27" s="22"/>
    </row>
    <row r="28" spans="1:50" ht="24" customHeight="1">
      <c r="A28" s="152"/>
      <c r="B28" s="156"/>
      <c r="C28" s="44" t="s">
        <v>93</v>
      </c>
      <c r="D28" s="45">
        <f t="shared" si="0"/>
        <v>687277.11111111112</v>
      </c>
      <c r="E28" s="45">
        <f t="shared" si="17"/>
        <v>18</v>
      </c>
      <c r="F28" s="45">
        <f t="shared" si="17"/>
        <v>12370988</v>
      </c>
      <c r="G28" s="45">
        <f t="shared" si="6"/>
        <v>962185.9</v>
      </c>
      <c r="H28" s="45">
        <v>10</v>
      </c>
      <c r="I28" s="45">
        <v>9621859</v>
      </c>
      <c r="J28" s="45">
        <f t="shared" si="2"/>
        <v>343641.125</v>
      </c>
      <c r="K28" s="45">
        <v>8</v>
      </c>
      <c r="L28" s="46">
        <v>2749129</v>
      </c>
      <c r="M28" s="152"/>
      <c r="N28" s="156"/>
      <c r="O28" s="44" t="s">
        <v>93</v>
      </c>
      <c r="P28" s="45">
        <f t="shared" si="7"/>
        <v>16879.816844919787</v>
      </c>
      <c r="Q28" s="45">
        <v>374</v>
      </c>
      <c r="R28" s="45">
        <f t="shared" si="20"/>
        <v>75756618</v>
      </c>
      <c r="S28" s="45">
        <f t="shared" si="9"/>
        <v>18233.281561911161</v>
      </c>
      <c r="T28" s="45">
        <v>178.67</v>
      </c>
      <c r="U28" s="45">
        <v>39092885</v>
      </c>
      <c r="V28" s="81">
        <f t="shared" si="10"/>
        <v>15641.791242171368</v>
      </c>
      <c r="W28" s="45">
        <v>195.33</v>
      </c>
      <c r="X28" s="46">
        <v>36663733</v>
      </c>
      <c r="Y28" s="152"/>
      <c r="Z28" s="156"/>
      <c r="AA28" s="44" t="s">
        <v>93</v>
      </c>
      <c r="AB28" s="45">
        <f t="shared" si="11"/>
        <v>258364</v>
      </c>
      <c r="AC28" s="45">
        <f t="shared" si="18"/>
        <v>3</v>
      </c>
      <c r="AD28" s="45">
        <f t="shared" si="18"/>
        <v>775092</v>
      </c>
      <c r="AE28" s="45">
        <f t="shared" si="12"/>
        <v>270456</v>
      </c>
      <c r="AF28" s="45">
        <v>2</v>
      </c>
      <c r="AG28" s="45">
        <v>540912</v>
      </c>
      <c r="AH28" s="45">
        <f t="shared" si="13"/>
        <v>234180</v>
      </c>
      <c r="AI28" s="45">
        <v>1</v>
      </c>
      <c r="AJ28" s="46">
        <v>234180</v>
      </c>
      <c r="AK28" s="152"/>
      <c r="AL28" s="156"/>
      <c r="AM28" s="44" t="s">
        <v>93</v>
      </c>
      <c r="AN28" s="45">
        <f t="shared" si="14"/>
        <v>497865.5</v>
      </c>
      <c r="AO28" s="45">
        <f t="shared" si="19"/>
        <v>4</v>
      </c>
      <c r="AP28" s="45">
        <f t="shared" si="19"/>
        <v>1991462</v>
      </c>
      <c r="AQ28" s="45">
        <f t="shared" si="15"/>
        <v>657135.33333333337</v>
      </c>
      <c r="AR28" s="45">
        <v>3</v>
      </c>
      <c r="AS28" s="45">
        <v>1971406</v>
      </c>
      <c r="AT28" s="45">
        <f t="shared" si="16"/>
        <v>20056</v>
      </c>
      <c r="AU28" s="45">
        <v>1</v>
      </c>
      <c r="AV28" s="46">
        <v>20056</v>
      </c>
      <c r="AX28" s="22"/>
    </row>
    <row r="29" spans="1:50" ht="28.9" customHeight="1">
      <c r="A29" s="157" t="s">
        <v>147</v>
      </c>
      <c r="B29" s="161" t="s">
        <v>63</v>
      </c>
      <c r="C29" s="41" t="s">
        <v>76</v>
      </c>
      <c r="D29" s="42">
        <f t="shared" si="0"/>
        <v>1349351.8959193672</v>
      </c>
      <c r="E29" s="42">
        <f>SUM(E30:E38)</f>
        <v>85722</v>
      </c>
      <c r="F29" s="42">
        <f>SUM(F30:F38)</f>
        <v>115669143222</v>
      </c>
      <c r="G29" s="42">
        <f t="shared" si="6"/>
        <v>1361499.8574159744</v>
      </c>
      <c r="H29" s="42">
        <f>SUM(H30:H38)</f>
        <v>42368</v>
      </c>
      <c r="I29" s="42">
        <f>SUM(I30:I38)</f>
        <v>57684025959</v>
      </c>
      <c r="J29" s="42">
        <f t="shared" si="2"/>
        <v>1337480.2155049131</v>
      </c>
      <c r="K29" s="42">
        <f>SUM(K30:K38)</f>
        <v>43354</v>
      </c>
      <c r="L29" s="43">
        <f>SUM(L30:L38)</f>
        <v>57985117263</v>
      </c>
      <c r="M29" s="157" t="s">
        <v>148</v>
      </c>
      <c r="N29" s="161" t="s">
        <v>63</v>
      </c>
      <c r="O29" s="41" t="s">
        <v>76</v>
      </c>
      <c r="P29" s="42">
        <f>R29/Q29/12</f>
        <v>17051.305295073475</v>
      </c>
      <c r="Q29" s="42">
        <v>1112308.33</v>
      </c>
      <c r="R29" s="42">
        <f>SUM(R30:R38)</f>
        <v>227595707005</v>
      </c>
      <c r="S29" s="42">
        <f>U29/T29/12</f>
        <v>18188.732341858482</v>
      </c>
      <c r="T29" s="42">
        <v>507459.5</v>
      </c>
      <c r="U29" s="42">
        <f>SUM(U30:U38)</f>
        <v>110760540238</v>
      </c>
      <c r="V29" s="42">
        <f>X29/W29/12</f>
        <v>16097.020303817073</v>
      </c>
      <c r="W29" s="42">
        <v>604848.82999999996</v>
      </c>
      <c r="X29" s="43">
        <f>SUM(X30:X38)</f>
        <v>116835166767</v>
      </c>
      <c r="Y29" s="157" t="s">
        <v>149</v>
      </c>
      <c r="Z29" s="161" t="s">
        <v>63</v>
      </c>
      <c r="AA29" s="41" t="s">
        <v>76</v>
      </c>
      <c r="AB29" s="42">
        <f t="shared" si="11"/>
        <v>98760.83286180631</v>
      </c>
      <c r="AC29" s="42">
        <f>SUM(AC30:AC38)</f>
        <v>18380</v>
      </c>
      <c r="AD29" s="42">
        <f>SUM(AD30:AD38)</f>
        <v>1815224108</v>
      </c>
      <c r="AE29" s="42">
        <f t="shared" si="12"/>
        <v>118282.95228147334</v>
      </c>
      <c r="AF29" s="42">
        <f>SUM(AF30:AF38)</f>
        <v>9095</v>
      </c>
      <c r="AG29" s="42">
        <f>SUM(AG30:AG38)</f>
        <v>1075783451</v>
      </c>
      <c r="AH29" s="42">
        <f t="shared" si="13"/>
        <v>79638.196768982234</v>
      </c>
      <c r="AI29" s="42">
        <f>SUM(AI30:AI38)</f>
        <v>9285</v>
      </c>
      <c r="AJ29" s="43">
        <f>SUM(AJ30:AJ38)</f>
        <v>739440657</v>
      </c>
      <c r="AK29" s="157" t="s">
        <v>151</v>
      </c>
      <c r="AL29" s="161" t="s">
        <v>63</v>
      </c>
      <c r="AM29" s="41" t="s">
        <v>76</v>
      </c>
      <c r="AN29" s="42">
        <f t="shared" si="14"/>
        <v>794421.80024839577</v>
      </c>
      <c r="AO29" s="42">
        <f>SUM(AO30:AO38)</f>
        <v>4831</v>
      </c>
      <c r="AP29" s="42">
        <f>SUM(AP30:AP38)</f>
        <v>3837851717</v>
      </c>
      <c r="AQ29" s="42">
        <f t="shared" si="15"/>
        <v>825989.4144553073</v>
      </c>
      <c r="AR29" s="42">
        <f>SUM(AR30:AR38)</f>
        <v>2864</v>
      </c>
      <c r="AS29" s="42">
        <f>SUM(AS30:AS38)</f>
        <v>2365633683</v>
      </c>
      <c r="AT29" s="42">
        <f t="shared" si="16"/>
        <v>748458.58362989326</v>
      </c>
      <c r="AU29" s="42">
        <f>SUM(AU30:AU38)</f>
        <v>1967</v>
      </c>
      <c r="AV29" s="43">
        <f>SUM(AV30:AV38)</f>
        <v>1472218034</v>
      </c>
    </row>
    <row r="30" spans="1:50" ht="28.9" customHeight="1">
      <c r="A30" s="158"/>
      <c r="B30" s="162"/>
      <c r="C30" s="44" t="s">
        <v>136</v>
      </c>
      <c r="D30" s="45">
        <v>0</v>
      </c>
      <c r="E30" s="45">
        <f t="shared" ref="E30:F38" si="21">H30+K30</f>
        <v>0</v>
      </c>
      <c r="F30" s="45">
        <f t="shared" si="21"/>
        <v>0</v>
      </c>
      <c r="G30" s="45">
        <v>0</v>
      </c>
      <c r="H30" s="45">
        <v>0</v>
      </c>
      <c r="I30" s="45">
        <v>0</v>
      </c>
      <c r="J30" s="45">
        <v>0</v>
      </c>
      <c r="K30" s="45">
        <v>0</v>
      </c>
      <c r="L30" s="46">
        <v>0</v>
      </c>
      <c r="M30" s="158"/>
      <c r="N30" s="162"/>
      <c r="O30" s="44" t="s">
        <v>136</v>
      </c>
      <c r="P30" s="45">
        <v>0</v>
      </c>
      <c r="Q30" s="45">
        <v>0</v>
      </c>
      <c r="R30" s="45">
        <f t="shared" ref="R30:R38" si="22">U30+X30</f>
        <v>0</v>
      </c>
      <c r="S30" s="45">
        <v>0</v>
      </c>
      <c r="T30" s="45">
        <v>0</v>
      </c>
      <c r="U30" s="45">
        <v>0</v>
      </c>
      <c r="V30" s="45">
        <v>0</v>
      </c>
      <c r="W30" s="45">
        <v>0</v>
      </c>
      <c r="X30" s="46">
        <v>0</v>
      </c>
      <c r="Y30" s="158"/>
      <c r="Z30" s="162"/>
      <c r="AA30" s="44" t="s">
        <v>136</v>
      </c>
      <c r="AB30" s="45">
        <v>0</v>
      </c>
      <c r="AC30" s="45">
        <f t="shared" ref="AC30:AD38" si="23">AF30+AI30</f>
        <v>0</v>
      </c>
      <c r="AD30" s="45">
        <f t="shared" si="23"/>
        <v>0</v>
      </c>
      <c r="AE30" s="45">
        <v>0</v>
      </c>
      <c r="AF30" s="45">
        <v>0</v>
      </c>
      <c r="AG30" s="45">
        <v>0</v>
      </c>
      <c r="AH30" s="45">
        <v>0</v>
      </c>
      <c r="AI30" s="45">
        <v>0</v>
      </c>
      <c r="AJ30" s="46">
        <v>0</v>
      </c>
      <c r="AK30" s="158"/>
      <c r="AL30" s="162"/>
      <c r="AM30" s="44" t="s">
        <v>136</v>
      </c>
      <c r="AN30" s="45">
        <v>0</v>
      </c>
      <c r="AO30" s="45">
        <f t="shared" ref="AO30:AP38" si="24">AR30+AU30</f>
        <v>0</v>
      </c>
      <c r="AP30" s="45">
        <f t="shared" si="24"/>
        <v>0</v>
      </c>
      <c r="AQ30" s="45">
        <v>0</v>
      </c>
      <c r="AR30" s="45">
        <v>0</v>
      </c>
      <c r="AS30" s="45">
        <v>0</v>
      </c>
      <c r="AT30" s="45">
        <v>0</v>
      </c>
      <c r="AU30" s="45">
        <v>0</v>
      </c>
      <c r="AV30" s="46">
        <v>0</v>
      </c>
    </row>
    <row r="31" spans="1:50" ht="28.9" customHeight="1">
      <c r="A31" s="158"/>
      <c r="B31" s="162"/>
      <c r="C31" s="44" t="s">
        <v>112</v>
      </c>
      <c r="D31" s="45">
        <f t="shared" si="0"/>
        <v>1236651</v>
      </c>
      <c r="E31" s="45">
        <f t="shared" si="21"/>
        <v>3</v>
      </c>
      <c r="F31" s="45">
        <f t="shared" si="21"/>
        <v>3709953</v>
      </c>
      <c r="G31" s="45">
        <v>0</v>
      </c>
      <c r="H31" s="45">
        <v>0</v>
      </c>
      <c r="I31" s="45">
        <v>0</v>
      </c>
      <c r="J31" s="45">
        <f t="shared" si="2"/>
        <v>1236651</v>
      </c>
      <c r="K31" s="45">
        <v>3</v>
      </c>
      <c r="L31" s="46">
        <v>3709953</v>
      </c>
      <c r="M31" s="158"/>
      <c r="N31" s="162"/>
      <c r="O31" s="44" t="s">
        <v>112</v>
      </c>
      <c r="P31" s="45">
        <v>0</v>
      </c>
      <c r="Q31" s="45">
        <v>0</v>
      </c>
      <c r="R31" s="45">
        <f t="shared" si="22"/>
        <v>0</v>
      </c>
      <c r="S31" s="45">
        <v>0</v>
      </c>
      <c r="T31" s="45">
        <v>0</v>
      </c>
      <c r="U31" s="45">
        <v>0</v>
      </c>
      <c r="V31" s="45">
        <v>0</v>
      </c>
      <c r="W31" s="45">
        <v>0</v>
      </c>
      <c r="X31" s="46">
        <v>0</v>
      </c>
      <c r="Y31" s="158"/>
      <c r="Z31" s="162"/>
      <c r="AA31" s="44" t="s">
        <v>112</v>
      </c>
      <c r="AB31" s="45">
        <v>0</v>
      </c>
      <c r="AC31" s="45">
        <f t="shared" si="23"/>
        <v>0</v>
      </c>
      <c r="AD31" s="45">
        <f t="shared" si="23"/>
        <v>0</v>
      </c>
      <c r="AE31" s="45">
        <v>0</v>
      </c>
      <c r="AF31" s="45">
        <v>0</v>
      </c>
      <c r="AG31" s="45">
        <v>0</v>
      </c>
      <c r="AH31" s="45">
        <v>0</v>
      </c>
      <c r="AI31" s="45">
        <v>0</v>
      </c>
      <c r="AJ31" s="46">
        <v>0</v>
      </c>
      <c r="AK31" s="158"/>
      <c r="AL31" s="162"/>
      <c r="AM31" s="44" t="s">
        <v>112</v>
      </c>
      <c r="AN31" s="45">
        <v>0</v>
      </c>
      <c r="AO31" s="45">
        <f t="shared" si="24"/>
        <v>0</v>
      </c>
      <c r="AP31" s="45">
        <f t="shared" si="24"/>
        <v>0</v>
      </c>
      <c r="AQ31" s="45">
        <v>0</v>
      </c>
      <c r="AR31" s="45">
        <v>0</v>
      </c>
      <c r="AS31" s="45">
        <v>0</v>
      </c>
      <c r="AT31" s="45">
        <v>0</v>
      </c>
      <c r="AU31" s="45">
        <v>0</v>
      </c>
      <c r="AV31" s="46">
        <v>0</v>
      </c>
    </row>
    <row r="32" spans="1:50" ht="28.9" customHeight="1">
      <c r="A32" s="158"/>
      <c r="B32" s="162"/>
      <c r="C32" s="44" t="s">
        <v>113</v>
      </c>
      <c r="D32" s="45">
        <f t="shared" si="0"/>
        <v>1271811.2535211267</v>
      </c>
      <c r="E32" s="45">
        <f t="shared" si="21"/>
        <v>639</v>
      </c>
      <c r="F32" s="45">
        <f t="shared" si="21"/>
        <v>812687391</v>
      </c>
      <c r="G32" s="45">
        <f t="shared" si="6"/>
        <v>1224832.8130841122</v>
      </c>
      <c r="H32" s="45">
        <v>214</v>
      </c>
      <c r="I32" s="45">
        <v>262114222</v>
      </c>
      <c r="J32" s="45">
        <f t="shared" si="2"/>
        <v>1295466.28</v>
      </c>
      <c r="K32" s="45">
        <v>425</v>
      </c>
      <c r="L32" s="46">
        <v>550573169</v>
      </c>
      <c r="M32" s="158"/>
      <c r="N32" s="162"/>
      <c r="O32" s="44" t="s">
        <v>113</v>
      </c>
      <c r="P32" s="45">
        <v>0</v>
      </c>
      <c r="Q32" s="45">
        <v>0</v>
      </c>
      <c r="R32" s="45">
        <f t="shared" si="22"/>
        <v>0</v>
      </c>
      <c r="S32" s="45">
        <v>0</v>
      </c>
      <c r="T32" s="45">
        <v>0</v>
      </c>
      <c r="U32" s="45">
        <v>0</v>
      </c>
      <c r="V32" s="45">
        <v>0</v>
      </c>
      <c r="W32" s="45">
        <v>0</v>
      </c>
      <c r="X32" s="46">
        <v>0</v>
      </c>
      <c r="Y32" s="158"/>
      <c r="Z32" s="162"/>
      <c r="AA32" s="44" t="s">
        <v>113</v>
      </c>
      <c r="AB32" s="45">
        <v>0</v>
      </c>
      <c r="AC32" s="45">
        <f t="shared" si="23"/>
        <v>0</v>
      </c>
      <c r="AD32" s="45">
        <f t="shared" si="23"/>
        <v>0</v>
      </c>
      <c r="AE32" s="45">
        <v>0</v>
      </c>
      <c r="AF32" s="45">
        <v>0</v>
      </c>
      <c r="AG32" s="45">
        <v>0</v>
      </c>
      <c r="AH32" s="45">
        <v>0</v>
      </c>
      <c r="AI32" s="45">
        <v>0</v>
      </c>
      <c r="AJ32" s="46">
        <v>0</v>
      </c>
      <c r="AK32" s="158"/>
      <c r="AL32" s="162"/>
      <c r="AM32" s="44" t="s">
        <v>113</v>
      </c>
      <c r="AN32" s="45">
        <v>0</v>
      </c>
      <c r="AO32" s="45">
        <f t="shared" si="24"/>
        <v>0</v>
      </c>
      <c r="AP32" s="45">
        <f t="shared" si="24"/>
        <v>0</v>
      </c>
      <c r="AQ32" s="45">
        <v>0</v>
      </c>
      <c r="AR32" s="45">
        <v>0</v>
      </c>
      <c r="AS32" s="45">
        <v>0</v>
      </c>
      <c r="AT32" s="45">
        <v>0</v>
      </c>
      <c r="AU32" s="45">
        <v>0</v>
      </c>
      <c r="AV32" s="46">
        <v>0</v>
      </c>
    </row>
    <row r="33" spans="1:48" ht="28.9" customHeight="1">
      <c r="A33" s="158"/>
      <c r="B33" s="162"/>
      <c r="C33" s="44" t="s">
        <v>114</v>
      </c>
      <c r="D33" s="45">
        <f t="shared" si="0"/>
        <v>1589039.6423191053</v>
      </c>
      <c r="E33" s="45">
        <f t="shared" si="21"/>
        <v>4381</v>
      </c>
      <c r="F33" s="45">
        <f t="shared" si="21"/>
        <v>6961582673</v>
      </c>
      <c r="G33" s="45">
        <f t="shared" si="6"/>
        <v>1559466.3660977045</v>
      </c>
      <c r="H33" s="45">
        <v>1699</v>
      </c>
      <c r="I33" s="45">
        <v>2649533356</v>
      </c>
      <c r="J33" s="45">
        <f t="shared" si="2"/>
        <v>1607773.7945563013</v>
      </c>
      <c r="K33" s="45">
        <v>2682</v>
      </c>
      <c r="L33" s="46">
        <v>4312049317</v>
      </c>
      <c r="M33" s="158"/>
      <c r="N33" s="162"/>
      <c r="O33" s="44" t="s">
        <v>114</v>
      </c>
      <c r="P33" s="45">
        <v>0</v>
      </c>
      <c r="Q33" s="45">
        <v>0</v>
      </c>
      <c r="R33" s="45">
        <f t="shared" si="22"/>
        <v>0</v>
      </c>
      <c r="S33" s="45">
        <v>0</v>
      </c>
      <c r="T33" s="45">
        <v>0</v>
      </c>
      <c r="U33" s="45">
        <v>0</v>
      </c>
      <c r="V33" s="45">
        <v>0</v>
      </c>
      <c r="W33" s="45">
        <v>0</v>
      </c>
      <c r="X33" s="46">
        <v>0</v>
      </c>
      <c r="Y33" s="158"/>
      <c r="Z33" s="162"/>
      <c r="AA33" s="44" t="s">
        <v>114</v>
      </c>
      <c r="AB33" s="45">
        <v>0</v>
      </c>
      <c r="AC33" s="45">
        <f t="shared" si="23"/>
        <v>0</v>
      </c>
      <c r="AD33" s="45">
        <f t="shared" si="23"/>
        <v>0</v>
      </c>
      <c r="AE33" s="45">
        <v>0</v>
      </c>
      <c r="AF33" s="45">
        <v>0</v>
      </c>
      <c r="AG33" s="45">
        <v>0</v>
      </c>
      <c r="AH33" s="45">
        <v>0</v>
      </c>
      <c r="AI33" s="45">
        <v>0</v>
      </c>
      <c r="AJ33" s="46">
        <v>0</v>
      </c>
      <c r="AK33" s="158"/>
      <c r="AL33" s="162"/>
      <c r="AM33" s="44" t="s">
        <v>114</v>
      </c>
      <c r="AN33" s="45">
        <v>0</v>
      </c>
      <c r="AO33" s="45">
        <f t="shared" si="24"/>
        <v>0</v>
      </c>
      <c r="AP33" s="45">
        <f t="shared" si="24"/>
        <v>0</v>
      </c>
      <c r="AQ33" s="45">
        <v>0</v>
      </c>
      <c r="AR33" s="45">
        <v>0</v>
      </c>
      <c r="AS33" s="45">
        <v>0</v>
      </c>
      <c r="AT33" s="45">
        <v>0</v>
      </c>
      <c r="AU33" s="45">
        <v>0</v>
      </c>
      <c r="AV33" s="46">
        <v>0</v>
      </c>
    </row>
    <row r="34" spans="1:48" ht="28.9" customHeight="1">
      <c r="A34" s="158"/>
      <c r="B34" s="162"/>
      <c r="C34" s="44" t="s">
        <v>115</v>
      </c>
      <c r="D34" s="45">
        <f t="shared" si="0"/>
        <v>1552774.8251467657</v>
      </c>
      <c r="E34" s="45">
        <f t="shared" si="21"/>
        <v>37134</v>
      </c>
      <c r="F34" s="45">
        <f t="shared" si="21"/>
        <v>57660740357</v>
      </c>
      <c r="G34" s="45">
        <f t="shared" si="6"/>
        <v>1564731.6345636179</v>
      </c>
      <c r="H34" s="45">
        <v>16717</v>
      </c>
      <c r="I34" s="45">
        <v>26157618735</v>
      </c>
      <c r="J34" s="45">
        <f t="shared" si="2"/>
        <v>1542984.847039232</v>
      </c>
      <c r="K34" s="45">
        <v>20417</v>
      </c>
      <c r="L34" s="46">
        <v>31503121622</v>
      </c>
      <c r="M34" s="158"/>
      <c r="N34" s="162"/>
      <c r="O34" s="44" t="s">
        <v>115</v>
      </c>
      <c r="P34" s="45">
        <v>0</v>
      </c>
      <c r="Q34" s="45">
        <v>0</v>
      </c>
      <c r="R34" s="45">
        <f t="shared" si="22"/>
        <v>0</v>
      </c>
      <c r="S34" s="45">
        <v>0</v>
      </c>
      <c r="T34" s="45">
        <v>0</v>
      </c>
      <c r="U34" s="45">
        <v>0</v>
      </c>
      <c r="V34" s="45">
        <v>0</v>
      </c>
      <c r="W34" s="45">
        <v>0</v>
      </c>
      <c r="X34" s="46">
        <v>0</v>
      </c>
      <c r="Y34" s="158"/>
      <c r="Z34" s="162"/>
      <c r="AA34" s="44" t="s">
        <v>115</v>
      </c>
      <c r="AB34" s="45">
        <v>0</v>
      </c>
      <c r="AC34" s="45">
        <f t="shared" si="23"/>
        <v>0</v>
      </c>
      <c r="AD34" s="45">
        <f t="shared" si="23"/>
        <v>0</v>
      </c>
      <c r="AE34" s="45">
        <v>0</v>
      </c>
      <c r="AF34" s="45">
        <v>0</v>
      </c>
      <c r="AG34" s="45">
        <v>0</v>
      </c>
      <c r="AH34" s="45">
        <v>0</v>
      </c>
      <c r="AI34" s="45">
        <v>0</v>
      </c>
      <c r="AJ34" s="46">
        <v>0</v>
      </c>
      <c r="AK34" s="158"/>
      <c r="AL34" s="162"/>
      <c r="AM34" s="44" t="s">
        <v>115</v>
      </c>
      <c r="AN34" s="45">
        <v>0</v>
      </c>
      <c r="AO34" s="45">
        <f t="shared" si="24"/>
        <v>0</v>
      </c>
      <c r="AP34" s="45">
        <f t="shared" si="24"/>
        <v>0</v>
      </c>
      <c r="AQ34" s="45">
        <v>0</v>
      </c>
      <c r="AR34" s="45">
        <v>0</v>
      </c>
      <c r="AS34" s="45">
        <v>0</v>
      </c>
      <c r="AT34" s="45">
        <v>0</v>
      </c>
      <c r="AU34" s="45">
        <v>0</v>
      </c>
      <c r="AV34" s="46">
        <v>0</v>
      </c>
    </row>
    <row r="35" spans="1:48" ht="28.9" customHeight="1">
      <c r="A35" s="158"/>
      <c r="B35" s="162"/>
      <c r="C35" s="44" t="s">
        <v>116</v>
      </c>
      <c r="D35" s="45">
        <f t="shared" si="0"/>
        <v>1279241.0919011261</v>
      </c>
      <c r="E35" s="45">
        <f t="shared" si="21"/>
        <v>28683</v>
      </c>
      <c r="F35" s="45">
        <f t="shared" si="21"/>
        <v>36692472239</v>
      </c>
      <c r="G35" s="45">
        <f t="shared" si="6"/>
        <v>1371501.0329030964</v>
      </c>
      <c r="H35" s="45">
        <v>14953</v>
      </c>
      <c r="I35" s="45">
        <v>20508054945</v>
      </c>
      <c r="J35" s="45">
        <f t="shared" si="2"/>
        <v>1178763.0949745083</v>
      </c>
      <c r="K35" s="45">
        <v>13730</v>
      </c>
      <c r="L35" s="46">
        <v>16184417294</v>
      </c>
      <c r="M35" s="158"/>
      <c r="N35" s="162"/>
      <c r="O35" s="44" t="s">
        <v>116</v>
      </c>
      <c r="P35" s="45">
        <f t="shared" ref="P35:P38" si="25">R35/Q35/12</f>
        <v>15886.889317137584</v>
      </c>
      <c r="Q35" s="45">
        <v>92090.83</v>
      </c>
      <c r="R35" s="45">
        <f t="shared" si="22"/>
        <v>17556441880</v>
      </c>
      <c r="S35" s="45">
        <f t="shared" ref="S35:S38" si="26">U35/T35/12</f>
        <v>16080.446337838628</v>
      </c>
      <c r="T35" s="45">
        <v>38315.67</v>
      </c>
      <c r="U35" s="45">
        <v>7393596904</v>
      </c>
      <c r="V35" s="45">
        <f t="shared" ref="V35:V38" si="27">X35/W35/12</f>
        <v>15748.973885159265</v>
      </c>
      <c r="W35" s="45">
        <v>53775.17</v>
      </c>
      <c r="X35" s="46">
        <v>10162844976</v>
      </c>
      <c r="Y35" s="158"/>
      <c r="Z35" s="162"/>
      <c r="AA35" s="44" t="s">
        <v>116</v>
      </c>
      <c r="AB35" s="45">
        <v>0</v>
      </c>
      <c r="AC35" s="45">
        <f t="shared" si="23"/>
        <v>0</v>
      </c>
      <c r="AD35" s="45">
        <f t="shared" si="23"/>
        <v>0</v>
      </c>
      <c r="AE35" s="45">
        <v>0</v>
      </c>
      <c r="AF35" s="45">
        <v>0</v>
      </c>
      <c r="AG35" s="45">
        <v>0</v>
      </c>
      <c r="AH35" s="45">
        <v>0</v>
      </c>
      <c r="AI35" s="45">
        <v>0</v>
      </c>
      <c r="AJ35" s="46">
        <v>0</v>
      </c>
      <c r="AK35" s="158"/>
      <c r="AL35" s="162"/>
      <c r="AM35" s="44" t="s">
        <v>116</v>
      </c>
      <c r="AN35" s="45">
        <f t="shared" si="14"/>
        <v>1282336.4387096774</v>
      </c>
      <c r="AO35" s="45">
        <f t="shared" si="24"/>
        <v>310</v>
      </c>
      <c r="AP35" s="45">
        <f t="shared" si="24"/>
        <v>397524296</v>
      </c>
      <c r="AQ35" s="45">
        <f t="shared" si="15"/>
        <v>1297145.6994219653</v>
      </c>
      <c r="AR35" s="45">
        <v>173</v>
      </c>
      <c r="AS35" s="45">
        <v>224406206</v>
      </c>
      <c r="AT35" s="45">
        <f t="shared" si="16"/>
        <v>1263635.693430657</v>
      </c>
      <c r="AU35" s="45">
        <v>137</v>
      </c>
      <c r="AV35" s="46">
        <v>173118090</v>
      </c>
    </row>
    <row r="36" spans="1:48" ht="28.9" customHeight="1">
      <c r="A36" s="158"/>
      <c r="B36" s="162"/>
      <c r="C36" s="44" t="s">
        <v>117</v>
      </c>
      <c r="D36" s="45">
        <f t="shared" si="0"/>
        <v>958962.38664850139</v>
      </c>
      <c r="E36" s="45">
        <f t="shared" si="21"/>
        <v>11010</v>
      </c>
      <c r="F36" s="45">
        <f t="shared" si="21"/>
        <v>10558175877</v>
      </c>
      <c r="G36" s="45">
        <f t="shared" si="6"/>
        <v>980089.22232543735</v>
      </c>
      <c r="H36" s="45">
        <v>6459</v>
      </c>
      <c r="I36" s="45">
        <v>6330396287</v>
      </c>
      <c r="J36" s="45">
        <f t="shared" si="2"/>
        <v>928978.15644913202</v>
      </c>
      <c r="K36" s="45">
        <v>4551</v>
      </c>
      <c r="L36" s="46">
        <v>4227779590</v>
      </c>
      <c r="M36" s="158"/>
      <c r="N36" s="162"/>
      <c r="O36" s="44" t="s">
        <v>117</v>
      </c>
      <c r="P36" s="45">
        <f t="shared" si="25"/>
        <v>16758.629656168498</v>
      </c>
      <c r="Q36" s="45">
        <v>466974.08</v>
      </c>
      <c r="R36" s="45">
        <f t="shared" si="22"/>
        <v>93910147989</v>
      </c>
      <c r="S36" s="45">
        <f t="shared" si="26"/>
        <v>17622.511232804336</v>
      </c>
      <c r="T36" s="45">
        <v>207770.17</v>
      </c>
      <c r="U36" s="45">
        <v>43937185856</v>
      </c>
      <c r="V36" s="45">
        <f t="shared" si="27"/>
        <v>16066.167174799413</v>
      </c>
      <c r="W36" s="45">
        <v>259203.92</v>
      </c>
      <c r="X36" s="46">
        <v>49972962133</v>
      </c>
      <c r="Y36" s="158"/>
      <c r="Z36" s="162"/>
      <c r="AA36" s="44" t="s">
        <v>117</v>
      </c>
      <c r="AB36" s="45">
        <f t="shared" si="11"/>
        <v>113491.21293062765</v>
      </c>
      <c r="AC36" s="45">
        <f t="shared" si="23"/>
        <v>10595</v>
      </c>
      <c r="AD36" s="45">
        <f t="shared" si="23"/>
        <v>1202439401</v>
      </c>
      <c r="AE36" s="45">
        <f t="shared" si="12"/>
        <v>136170.5366507177</v>
      </c>
      <c r="AF36" s="45">
        <v>5225</v>
      </c>
      <c r="AG36" s="45">
        <v>711491054</v>
      </c>
      <c r="AH36" s="45">
        <f t="shared" si="13"/>
        <v>91424.273184357546</v>
      </c>
      <c r="AI36" s="45">
        <v>5370</v>
      </c>
      <c r="AJ36" s="46">
        <v>490948347</v>
      </c>
      <c r="AK36" s="158"/>
      <c r="AL36" s="162"/>
      <c r="AM36" s="44" t="s">
        <v>117</v>
      </c>
      <c r="AN36" s="45">
        <f t="shared" si="14"/>
        <v>972045.48527918779</v>
      </c>
      <c r="AO36" s="45">
        <f t="shared" si="24"/>
        <v>1970</v>
      </c>
      <c r="AP36" s="45">
        <f t="shared" si="24"/>
        <v>1914929606</v>
      </c>
      <c r="AQ36" s="45">
        <f t="shared" si="15"/>
        <v>1006106.4585079631</v>
      </c>
      <c r="AR36" s="45">
        <v>1193</v>
      </c>
      <c r="AS36" s="45">
        <v>1200285005</v>
      </c>
      <c r="AT36" s="45">
        <f t="shared" si="16"/>
        <v>919748.52123552118</v>
      </c>
      <c r="AU36" s="45">
        <v>777</v>
      </c>
      <c r="AV36" s="46">
        <v>714644601</v>
      </c>
    </row>
    <row r="37" spans="1:48" ht="28.9" customHeight="1">
      <c r="A37" s="159"/>
      <c r="B37" s="163"/>
      <c r="C37" s="44" t="s">
        <v>118</v>
      </c>
      <c r="D37" s="45">
        <f t="shared" si="0"/>
        <v>779650.51974592649</v>
      </c>
      <c r="E37" s="45">
        <f t="shared" si="21"/>
        <v>3621</v>
      </c>
      <c r="F37" s="45">
        <f t="shared" si="21"/>
        <v>2823114532</v>
      </c>
      <c r="G37" s="45">
        <f t="shared" si="6"/>
        <v>771899.91739732353</v>
      </c>
      <c r="H37" s="45">
        <v>2167</v>
      </c>
      <c r="I37" s="45">
        <v>1672707121</v>
      </c>
      <c r="J37" s="45">
        <f t="shared" si="2"/>
        <v>791201.79573590099</v>
      </c>
      <c r="K37" s="45">
        <v>1454</v>
      </c>
      <c r="L37" s="46">
        <v>1150407411</v>
      </c>
      <c r="M37" s="159"/>
      <c r="N37" s="163"/>
      <c r="O37" s="44" t="s">
        <v>118</v>
      </c>
      <c r="P37" s="45">
        <f t="shared" si="25"/>
        <v>18103.96312807337</v>
      </c>
      <c r="Q37" s="45">
        <v>413148.92</v>
      </c>
      <c r="R37" s="45">
        <f t="shared" si="22"/>
        <v>89755593769</v>
      </c>
      <c r="S37" s="45">
        <f t="shared" si="26"/>
        <v>19636.870801306683</v>
      </c>
      <c r="T37" s="45">
        <v>196147.83</v>
      </c>
      <c r="U37" s="45">
        <v>46220755148</v>
      </c>
      <c r="V37" s="45">
        <f t="shared" si="27"/>
        <v>16718.364804528468</v>
      </c>
      <c r="W37" s="45">
        <v>217001.08</v>
      </c>
      <c r="X37" s="46">
        <v>43534838621</v>
      </c>
      <c r="Y37" s="159"/>
      <c r="Z37" s="163"/>
      <c r="AA37" s="44" t="s">
        <v>118</v>
      </c>
      <c r="AB37" s="45">
        <f t="shared" si="11"/>
        <v>83034.276628119289</v>
      </c>
      <c r="AC37" s="45">
        <f t="shared" si="23"/>
        <v>6572</v>
      </c>
      <c r="AD37" s="45">
        <f t="shared" si="23"/>
        <v>545701266</v>
      </c>
      <c r="AE37" s="45">
        <f t="shared" si="12"/>
        <v>98713.914311759348</v>
      </c>
      <c r="AF37" s="45">
        <v>3291</v>
      </c>
      <c r="AG37" s="45">
        <v>324867492</v>
      </c>
      <c r="AH37" s="45">
        <f t="shared" si="13"/>
        <v>67306.849740932637</v>
      </c>
      <c r="AI37" s="45">
        <v>3281</v>
      </c>
      <c r="AJ37" s="46">
        <v>220833774</v>
      </c>
      <c r="AK37" s="159"/>
      <c r="AL37" s="163"/>
      <c r="AM37" s="44" t="s">
        <v>118</v>
      </c>
      <c r="AN37" s="45">
        <f t="shared" si="14"/>
        <v>661646.81125980616</v>
      </c>
      <c r="AO37" s="45">
        <f t="shared" si="24"/>
        <v>2167</v>
      </c>
      <c r="AP37" s="45">
        <f t="shared" si="24"/>
        <v>1433788640</v>
      </c>
      <c r="AQ37" s="45">
        <f t="shared" si="15"/>
        <v>693837.50980392157</v>
      </c>
      <c r="AR37" s="45">
        <v>1275</v>
      </c>
      <c r="AS37" s="45">
        <v>884642825</v>
      </c>
      <c r="AT37" s="45">
        <f t="shared" si="16"/>
        <v>615634.32174887892</v>
      </c>
      <c r="AU37" s="45">
        <v>892</v>
      </c>
      <c r="AV37" s="46">
        <v>549145815</v>
      </c>
    </row>
    <row r="38" spans="1:48" ht="28.9" customHeight="1" thickBot="1">
      <c r="A38" s="160"/>
      <c r="B38" s="164"/>
      <c r="C38" s="47" t="s">
        <v>94</v>
      </c>
      <c r="D38" s="48">
        <f t="shared" si="0"/>
        <v>624144.22310756973</v>
      </c>
      <c r="E38" s="48">
        <f t="shared" si="21"/>
        <v>251</v>
      </c>
      <c r="F38" s="48">
        <f t="shared" si="21"/>
        <v>156660200</v>
      </c>
      <c r="G38" s="48">
        <f t="shared" si="6"/>
        <v>651580.45911949687</v>
      </c>
      <c r="H38" s="48">
        <v>159</v>
      </c>
      <c r="I38" s="48">
        <v>103601293</v>
      </c>
      <c r="J38" s="48">
        <f t="shared" si="2"/>
        <v>576727.25</v>
      </c>
      <c r="K38" s="48">
        <v>92</v>
      </c>
      <c r="L38" s="49">
        <v>53058907</v>
      </c>
      <c r="M38" s="160"/>
      <c r="N38" s="164"/>
      <c r="O38" s="47" t="s">
        <v>94</v>
      </c>
      <c r="P38" s="48">
        <f t="shared" si="25"/>
        <v>15687.936456582283</v>
      </c>
      <c r="Q38" s="48">
        <v>140094.5</v>
      </c>
      <c r="R38" s="48">
        <f t="shared" si="22"/>
        <v>26373523367</v>
      </c>
      <c r="S38" s="48">
        <f t="shared" si="26"/>
        <v>16875.986003806571</v>
      </c>
      <c r="T38" s="48">
        <v>65225.83</v>
      </c>
      <c r="U38" s="48">
        <v>13209002330</v>
      </c>
      <c r="V38" s="48">
        <f t="shared" si="27"/>
        <v>14652.905765242758</v>
      </c>
      <c r="W38" s="48">
        <v>74868.66</v>
      </c>
      <c r="X38" s="49">
        <v>13164521037</v>
      </c>
      <c r="Y38" s="160"/>
      <c r="Z38" s="164"/>
      <c r="AA38" s="47" t="s">
        <v>94</v>
      </c>
      <c r="AB38" s="48">
        <f t="shared" si="11"/>
        <v>55303.743610882113</v>
      </c>
      <c r="AC38" s="48">
        <f t="shared" si="23"/>
        <v>1213</v>
      </c>
      <c r="AD38" s="48">
        <f t="shared" si="23"/>
        <v>67083441</v>
      </c>
      <c r="AE38" s="48">
        <f t="shared" si="12"/>
        <v>68091.373056994824</v>
      </c>
      <c r="AF38" s="48">
        <v>579</v>
      </c>
      <c r="AG38" s="48">
        <v>39424905</v>
      </c>
      <c r="AH38" s="48">
        <f t="shared" si="13"/>
        <v>43625.451104100946</v>
      </c>
      <c r="AI38" s="48">
        <v>634</v>
      </c>
      <c r="AJ38" s="49">
        <v>27658536</v>
      </c>
      <c r="AK38" s="160"/>
      <c r="AL38" s="164"/>
      <c r="AM38" s="47" t="s">
        <v>94</v>
      </c>
      <c r="AN38" s="48">
        <f t="shared" si="14"/>
        <v>238565.55989583334</v>
      </c>
      <c r="AO38" s="48">
        <f t="shared" si="24"/>
        <v>384</v>
      </c>
      <c r="AP38" s="48">
        <f t="shared" si="24"/>
        <v>91609175</v>
      </c>
      <c r="AQ38" s="48">
        <f t="shared" si="15"/>
        <v>252464.78475336323</v>
      </c>
      <c r="AR38" s="48">
        <v>223</v>
      </c>
      <c r="AS38" s="48">
        <v>56299647</v>
      </c>
      <c r="AT38" s="48">
        <f t="shared" si="16"/>
        <v>219313.83850931676</v>
      </c>
      <c r="AU38" s="48">
        <v>161</v>
      </c>
      <c r="AV38" s="49">
        <v>35309528</v>
      </c>
    </row>
    <row r="39" spans="1:48" s="4" customFormat="1" ht="180" customHeight="1">
      <c r="A39" s="133" t="s">
        <v>129</v>
      </c>
      <c r="B39" s="133"/>
      <c r="C39" s="133"/>
      <c r="D39" s="133"/>
      <c r="E39" s="133"/>
      <c r="F39" s="133"/>
      <c r="G39" s="133"/>
      <c r="H39" s="133"/>
      <c r="I39" s="133"/>
      <c r="J39" s="133"/>
      <c r="K39" s="133"/>
      <c r="L39" s="133"/>
      <c r="M39" s="133" t="s">
        <v>159</v>
      </c>
      <c r="N39" s="133"/>
      <c r="O39" s="133"/>
      <c r="P39" s="133"/>
      <c r="Q39" s="133"/>
      <c r="R39" s="133"/>
      <c r="S39" s="133"/>
      <c r="T39" s="133"/>
      <c r="U39" s="133"/>
      <c r="V39" s="133"/>
      <c r="W39" s="133"/>
      <c r="X39" s="133"/>
      <c r="Y39" s="133" t="s">
        <v>156</v>
      </c>
      <c r="Z39" s="133"/>
      <c r="AA39" s="133"/>
      <c r="AB39" s="133"/>
      <c r="AC39" s="133"/>
      <c r="AD39" s="133"/>
      <c r="AE39" s="133"/>
      <c r="AF39" s="133"/>
      <c r="AG39" s="133"/>
      <c r="AH39" s="133"/>
      <c r="AI39" s="133"/>
      <c r="AJ39" s="133"/>
      <c r="AK39" s="133" t="s">
        <v>126</v>
      </c>
      <c r="AL39" s="133"/>
      <c r="AM39" s="133"/>
      <c r="AN39" s="133"/>
      <c r="AO39" s="133"/>
      <c r="AP39" s="133"/>
      <c r="AQ39" s="133"/>
      <c r="AR39" s="133"/>
      <c r="AS39" s="133"/>
      <c r="AT39" s="133"/>
      <c r="AU39" s="133"/>
      <c r="AV39" s="133"/>
    </row>
  </sheetData>
  <mergeCells count="48">
    <mergeCell ref="AK29:AK38"/>
    <mergeCell ref="AL29:AL38"/>
    <mergeCell ref="A39:L39"/>
    <mergeCell ref="M39:X39"/>
    <mergeCell ref="Y39:AJ39"/>
    <mergeCell ref="AK39:AV39"/>
    <mergeCell ref="A29:A38"/>
    <mergeCell ref="B29:B38"/>
    <mergeCell ref="M29:M38"/>
    <mergeCell ref="N29:N38"/>
    <mergeCell ref="Y29:Y38"/>
    <mergeCell ref="Z29:Z38"/>
    <mergeCell ref="Z6:Z28"/>
    <mergeCell ref="AK6:AK28"/>
    <mergeCell ref="AL6:AL28"/>
    <mergeCell ref="D4:F4"/>
    <mergeCell ref="G4:I4"/>
    <mergeCell ref="J4:L4"/>
    <mergeCell ref="P4:R4"/>
    <mergeCell ref="S4:U4"/>
    <mergeCell ref="V4:X4"/>
    <mergeCell ref="Z3:AA5"/>
    <mergeCell ref="A6:A28"/>
    <mergeCell ref="B6:B28"/>
    <mergeCell ref="M6:M28"/>
    <mergeCell ref="N6:N28"/>
    <mergeCell ref="Y6:Y28"/>
    <mergeCell ref="AQ4:AS4"/>
    <mergeCell ref="A1:L1"/>
    <mergeCell ref="M1:X1"/>
    <mergeCell ref="Y1:AJ1"/>
    <mergeCell ref="AK1:AV1"/>
    <mergeCell ref="A3:A5"/>
    <mergeCell ref="B3:C5"/>
    <mergeCell ref="D3:L3"/>
    <mergeCell ref="M3:M5"/>
    <mergeCell ref="N3:O5"/>
    <mergeCell ref="P3:X3"/>
    <mergeCell ref="AN3:AV3"/>
    <mergeCell ref="AB4:AD4"/>
    <mergeCell ref="AT4:AV4"/>
    <mergeCell ref="AE4:AG4"/>
    <mergeCell ref="AH4:AJ4"/>
    <mergeCell ref="AN4:AP4"/>
    <mergeCell ref="Y3:Y5"/>
    <mergeCell ref="AB3:AJ3"/>
    <mergeCell ref="AK3:AK5"/>
    <mergeCell ref="AL3:AM5"/>
  </mergeCells>
  <phoneticPr fontId="14" type="noConversion"/>
  <printOptions horizontalCentered="1"/>
  <pageMargins left="0.15748031496062992" right="0.15748031496062992" top="0.59055118110236227" bottom="0.59055118110236227" header="0.51181102362204722" footer="0.31496062992125984"/>
  <pageSetup paperSize="9" orientation="portrait" r:id="rId1"/>
  <headerFooter alignWithMargins="0"/>
  <rowBreaks count="1" manualBreakCount="1">
    <brk id="28" max="16383" man="1"/>
  </rowBreaks>
  <colBreaks count="3" manualBreakCount="3">
    <brk id="24" max="1048575" man="1"/>
    <brk id="36" max="1048575" man="1"/>
    <brk id="12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V39"/>
  <sheetViews>
    <sheetView view="pageBreakPreview" zoomScale="80" zoomScaleNormal="90" zoomScaleSheetLayoutView="80" workbookViewId="0">
      <selection activeCell="A2" sqref="A2"/>
    </sheetView>
  </sheetViews>
  <sheetFormatPr defaultColWidth="9" defaultRowHeight="16.5"/>
  <cols>
    <col min="1" max="1" width="5.625" style="54" customWidth="1"/>
    <col min="2" max="2" width="3.5" style="54" customWidth="1"/>
    <col min="3" max="3" width="9.5" style="55" customWidth="1"/>
    <col min="4" max="4" width="8.25" style="53" customWidth="1"/>
    <col min="5" max="5" width="6.375" style="53" customWidth="1"/>
    <col min="6" max="6" width="12.75" style="53" customWidth="1"/>
    <col min="7" max="7" width="8.25" style="53" customWidth="1"/>
    <col min="8" max="8" width="6.25" style="53" customWidth="1"/>
    <col min="9" max="9" width="12" style="53" customWidth="1"/>
    <col min="10" max="10" width="8.25" style="53" customWidth="1"/>
    <col min="11" max="11" width="6.25" style="53" customWidth="1"/>
    <col min="12" max="12" width="12" style="53" customWidth="1"/>
    <col min="13" max="13" width="5.625" style="53" customWidth="1"/>
    <col min="14" max="14" width="3.5" style="53" customWidth="1"/>
    <col min="15" max="15" width="9.375" style="56" customWidth="1"/>
    <col min="16" max="16" width="6.75" style="53" customWidth="1"/>
    <col min="17" max="17" width="8" style="53" customWidth="1"/>
    <col min="18" max="18" width="12.5" style="53" customWidth="1"/>
    <col min="19" max="19" width="6.75" style="53" customWidth="1"/>
    <col min="20" max="20" width="7.375" style="53" customWidth="1"/>
    <col min="21" max="21" width="12.5" style="53" customWidth="1"/>
    <col min="22" max="22" width="6.75" style="53" customWidth="1"/>
    <col min="23" max="23" width="7.375" style="53" customWidth="1"/>
    <col min="24" max="24" width="12.5" style="53" customWidth="1"/>
    <col min="25" max="25" width="6.625" style="53" customWidth="1"/>
    <col min="26" max="26" width="4.625" style="53" customWidth="1"/>
    <col min="27" max="27" width="9.375" style="56" customWidth="1"/>
    <col min="28" max="28" width="7.5" style="53" customWidth="1"/>
    <col min="29" max="29" width="7.25" style="53" customWidth="1"/>
    <col min="30" max="30" width="10.75" style="53" customWidth="1"/>
    <col min="31" max="31" width="7.5" style="53" customWidth="1"/>
    <col min="32" max="32" width="7.25" style="53" customWidth="1"/>
    <col min="33" max="33" width="10.75" style="53" customWidth="1"/>
    <col min="34" max="34" width="7.5" style="53" customWidth="1"/>
    <col min="35" max="35" width="7.25" style="53" customWidth="1"/>
    <col min="36" max="36" width="10.75" style="53" customWidth="1"/>
    <col min="37" max="37" width="6.625" style="53" customWidth="1"/>
    <col min="38" max="38" width="4.625" style="53" customWidth="1"/>
    <col min="39" max="39" width="9.375" style="56" customWidth="1"/>
    <col min="40" max="40" width="8.5" style="53" customWidth="1"/>
    <col min="41" max="41" width="6.75" style="53" customWidth="1"/>
    <col min="42" max="42" width="10.75" style="53" customWidth="1"/>
    <col min="43" max="43" width="8.5" style="53" customWidth="1"/>
    <col min="44" max="44" width="6.75" style="53" customWidth="1"/>
    <col min="45" max="45" width="10.75" style="53" customWidth="1"/>
    <col min="46" max="46" width="8.5" style="53" customWidth="1"/>
    <col min="47" max="47" width="6.75" style="53" customWidth="1"/>
    <col min="48" max="48" width="10.75" style="53" customWidth="1"/>
    <col min="49" max="16384" width="9" style="53"/>
  </cols>
  <sheetData>
    <row r="1" spans="1:48" ht="24" customHeight="1">
      <c r="A1" s="112" t="s">
        <v>121</v>
      </c>
      <c r="B1" s="113"/>
      <c r="C1" s="113"/>
      <c r="D1" s="113"/>
      <c r="E1" s="113"/>
      <c r="F1" s="113"/>
      <c r="G1" s="113"/>
      <c r="H1" s="113"/>
      <c r="I1" s="113"/>
      <c r="J1" s="113"/>
      <c r="K1" s="113"/>
      <c r="L1" s="113"/>
      <c r="M1" s="112" t="s">
        <v>119</v>
      </c>
      <c r="N1" s="113"/>
      <c r="O1" s="113"/>
      <c r="P1" s="113"/>
      <c r="Q1" s="113"/>
      <c r="R1" s="113"/>
      <c r="S1" s="113"/>
      <c r="T1" s="113"/>
      <c r="U1" s="113"/>
      <c r="V1" s="113"/>
      <c r="W1" s="113"/>
      <c r="X1" s="113"/>
      <c r="Y1" s="112" t="s">
        <v>123</v>
      </c>
      <c r="Z1" s="113"/>
      <c r="AA1" s="113"/>
      <c r="AB1" s="113"/>
      <c r="AC1" s="113"/>
      <c r="AD1" s="113"/>
      <c r="AE1" s="113"/>
      <c r="AF1" s="113"/>
      <c r="AG1" s="113"/>
      <c r="AH1" s="113"/>
      <c r="AI1" s="113"/>
      <c r="AJ1" s="113"/>
      <c r="AK1" s="112" t="s">
        <v>122</v>
      </c>
      <c r="AL1" s="113"/>
      <c r="AM1" s="113"/>
      <c r="AN1" s="113"/>
      <c r="AO1" s="113"/>
      <c r="AP1" s="113"/>
      <c r="AQ1" s="113"/>
      <c r="AR1" s="113"/>
      <c r="AS1" s="113"/>
      <c r="AT1" s="113"/>
      <c r="AU1" s="113"/>
      <c r="AV1" s="113"/>
    </row>
    <row r="2" spans="1:48" ht="18" customHeight="1" thickBot="1">
      <c r="AM2" s="57"/>
      <c r="AN2" s="58"/>
      <c r="AO2" s="58"/>
    </row>
    <row r="3" spans="1:48" s="59" customFormat="1" ht="27" customHeight="1">
      <c r="A3" s="100" t="s">
        <v>62</v>
      </c>
      <c r="B3" s="106" t="s">
        <v>52</v>
      </c>
      <c r="C3" s="107"/>
      <c r="D3" s="102" t="s">
        <v>120</v>
      </c>
      <c r="E3" s="102"/>
      <c r="F3" s="103"/>
      <c r="G3" s="103"/>
      <c r="H3" s="103"/>
      <c r="I3" s="103"/>
      <c r="J3" s="103"/>
      <c r="K3" s="104"/>
      <c r="L3" s="105"/>
      <c r="M3" s="100" t="s">
        <v>62</v>
      </c>
      <c r="N3" s="106" t="s">
        <v>52</v>
      </c>
      <c r="O3" s="107"/>
      <c r="P3" s="102" t="str">
        <f>D3</f>
        <v>106年</v>
      </c>
      <c r="Q3" s="102"/>
      <c r="R3" s="103"/>
      <c r="S3" s="103"/>
      <c r="T3" s="103"/>
      <c r="U3" s="103"/>
      <c r="V3" s="103"/>
      <c r="W3" s="104"/>
      <c r="X3" s="105"/>
      <c r="Y3" s="100" t="s">
        <v>62</v>
      </c>
      <c r="Z3" s="106" t="s">
        <v>52</v>
      </c>
      <c r="AA3" s="107"/>
      <c r="AB3" s="102" t="str">
        <f>D3</f>
        <v>106年</v>
      </c>
      <c r="AC3" s="102"/>
      <c r="AD3" s="103"/>
      <c r="AE3" s="103"/>
      <c r="AF3" s="103"/>
      <c r="AG3" s="103"/>
      <c r="AH3" s="103"/>
      <c r="AI3" s="104"/>
      <c r="AJ3" s="105"/>
      <c r="AK3" s="100" t="s">
        <v>62</v>
      </c>
      <c r="AL3" s="106" t="s">
        <v>52</v>
      </c>
      <c r="AM3" s="107"/>
      <c r="AN3" s="102" t="str">
        <f>D3</f>
        <v>106年</v>
      </c>
      <c r="AO3" s="102"/>
      <c r="AP3" s="103"/>
      <c r="AQ3" s="103"/>
      <c r="AR3" s="103"/>
      <c r="AS3" s="103"/>
      <c r="AT3" s="103"/>
      <c r="AU3" s="104"/>
      <c r="AV3" s="105"/>
    </row>
    <row r="4" spans="1:48" s="59" customFormat="1" ht="27" customHeight="1">
      <c r="A4" s="101"/>
      <c r="B4" s="108"/>
      <c r="C4" s="109"/>
      <c r="D4" s="99" t="s">
        <v>12</v>
      </c>
      <c r="E4" s="99"/>
      <c r="F4" s="99"/>
      <c r="G4" s="99" t="s">
        <v>13</v>
      </c>
      <c r="H4" s="99"/>
      <c r="I4" s="99"/>
      <c r="J4" s="99" t="s">
        <v>14</v>
      </c>
      <c r="K4" s="114"/>
      <c r="L4" s="115"/>
      <c r="M4" s="101"/>
      <c r="N4" s="108"/>
      <c r="O4" s="109"/>
      <c r="P4" s="99" t="s">
        <v>12</v>
      </c>
      <c r="Q4" s="99"/>
      <c r="R4" s="99"/>
      <c r="S4" s="99" t="s">
        <v>13</v>
      </c>
      <c r="T4" s="99"/>
      <c r="U4" s="99"/>
      <c r="V4" s="99" t="s">
        <v>14</v>
      </c>
      <c r="W4" s="114"/>
      <c r="X4" s="115"/>
      <c r="Y4" s="101"/>
      <c r="Z4" s="108"/>
      <c r="AA4" s="109"/>
      <c r="AB4" s="99" t="s">
        <v>12</v>
      </c>
      <c r="AC4" s="99"/>
      <c r="AD4" s="99"/>
      <c r="AE4" s="99" t="s">
        <v>13</v>
      </c>
      <c r="AF4" s="99"/>
      <c r="AG4" s="99"/>
      <c r="AH4" s="99" t="s">
        <v>14</v>
      </c>
      <c r="AI4" s="114"/>
      <c r="AJ4" s="115"/>
      <c r="AK4" s="101"/>
      <c r="AL4" s="108"/>
      <c r="AM4" s="109"/>
      <c r="AN4" s="99" t="s">
        <v>12</v>
      </c>
      <c r="AO4" s="99"/>
      <c r="AP4" s="99"/>
      <c r="AQ4" s="99" t="s">
        <v>13</v>
      </c>
      <c r="AR4" s="99"/>
      <c r="AS4" s="99"/>
      <c r="AT4" s="99" t="s">
        <v>14</v>
      </c>
      <c r="AU4" s="114"/>
      <c r="AV4" s="115"/>
    </row>
    <row r="5" spans="1:48" ht="49.5">
      <c r="A5" s="101"/>
      <c r="B5" s="110"/>
      <c r="C5" s="111"/>
      <c r="D5" s="60" t="s">
        <v>128</v>
      </c>
      <c r="E5" s="61" t="s">
        <v>15</v>
      </c>
      <c r="F5" s="61" t="s">
        <v>16</v>
      </c>
      <c r="G5" s="60" t="s">
        <v>124</v>
      </c>
      <c r="H5" s="61" t="s">
        <v>15</v>
      </c>
      <c r="I5" s="61" t="s">
        <v>16</v>
      </c>
      <c r="J5" s="60" t="s">
        <v>124</v>
      </c>
      <c r="K5" s="61" t="s">
        <v>15</v>
      </c>
      <c r="L5" s="62" t="s">
        <v>16</v>
      </c>
      <c r="M5" s="101"/>
      <c r="N5" s="110"/>
      <c r="O5" s="111"/>
      <c r="P5" s="60" t="s">
        <v>167</v>
      </c>
      <c r="Q5" s="82" t="s">
        <v>158</v>
      </c>
      <c r="R5" s="61" t="s">
        <v>16</v>
      </c>
      <c r="S5" s="60" t="s">
        <v>167</v>
      </c>
      <c r="T5" s="82" t="s">
        <v>158</v>
      </c>
      <c r="U5" s="61" t="s">
        <v>16</v>
      </c>
      <c r="V5" s="60" t="s">
        <v>167</v>
      </c>
      <c r="W5" s="82" t="s">
        <v>158</v>
      </c>
      <c r="X5" s="62" t="s">
        <v>16</v>
      </c>
      <c r="Y5" s="101"/>
      <c r="Z5" s="110"/>
      <c r="AA5" s="111"/>
      <c r="AB5" s="60" t="s">
        <v>124</v>
      </c>
      <c r="AC5" s="61" t="s">
        <v>15</v>
      </c>
      <c r="AD5" s="61" t="s">
        <v>16</v>
      </c>
      <c r="AE5" s="60" t="s">
        <v>124</v>
      </c>
      <c r="AF5" s="61" t="s">
        <v>15</v>
      </c>
      <c r="AG5" s="61" t="s">
        <v>16</v>
      </c>
      <c r="AH5" s="60" t="s">
        <v>124</v>
      </c>
      <c r="AI5" s="61" t="s">
        <v>15</v>
      </c>
      <c r="AJ5" s="62" t="s">
        <v>16</v>
      </c>
      <c r="AK5" s="101"/>
      <c r="AL5" s="110"/>
      <c r="AM5" s="111"/>
      <c r="AN5" s="60" t="s">
        <v>125</v>
      </c>
      <c r="AO5" s="61" t="s">
        <v>15</v>
      </c>
      <c r="AP5" s="61" t="s">
        <v>16</v>
      </c>
      <c r="AQ5" s="60" t="s">
        <v>124</v>
      </c>
      <c r="AR5" s="61" t="s">
        <v>15</v>
      </c>
      <c r="AS5" s="61" t="s">
        <v>16</v>
      </c>
      <c r="AT5" s="60" t="s">
        <v>124</v>
      </c>
      <c r="AU5" s="61" t="s">
        <v>15</v>
      </c>
      <c r="AV5" s="62" t="s">
        <v>16</v>
      </c>
    </row>
    <row r="6" spans="1:48" ht="24" customHeight="1">
      <c r="A6" s="170" t="s">
        <v>145</v>
      </c>
      <c r="B6" s="120" t="s">
        <v>17</v>
      </c>
      <c r="C6" s="63" t="s">
        <v>76</v>
      </c>
      <c r="D6" s="64">
        <f t="shared" ref="D6:D38" si="0">F6/E6</f>
        <v>1352520.205698462</v>
      </c>
      <c r="E6" s="64">
        <f>SUM(E7:E28)</f>
        <v>103642</v>
      </c>
      <c r="F6" s="64">
        <f>SUM(F7:F28)</f>
        <v>140177899159</v>
      </c>
      <c r="G6" s="64">
        <f>I6/H6</f>
        <v>1361361.8199289534</v>
      </c>
      <c r="H6" s="64">
        <f t="shared" ref="H6:L6" si="1">SUM(H7:H28)</f>
        <v>50108</v>
      </c>
      <c r="I6" s="64">
        <f t="shared" si="1"/>
        <v>68215118073</v>
      </c>
      <c r="J6" s="64">
        <f t="shared" ref="J6:J38" si="2">L6/K6</f>
        <v>1344244.4257107633</v>
      </c>
      <c r="K6" s="64">
        <f t="shared" ref="K6" si="3">SUM(K7:K28)</f>
        <v>53534</v>
      </c>
      <c r="L6" s="65">
        <f t="shared" si="1"/>
        <v>71962781086</v>
      </c>
      <c r="M6" s="170" t="s">
        <v>146</v>
      </c>
      <c r="N6" s="120" t="s">
        <v>17</v>
      </c>
      <c r="O6" s="63" t="s">
        <v>76</v>
      </c>
      <c r="P6" s="64">
        <f>R6/Q6/12</f>
        <v>16784.040678617162</v>
      </c>
      <c r="Q6" s="64">
        <v>978711.08</v>
      </c>
      <c r="R6" s="64">
        <f>U6+X6</f>
        <v>197120718952</v>
      </c>
      <c r="S6" s="64">
        <f>U6/T6/12</f>
        <v>17902.124418077095</v>
      </c>
      <c r="T6" s="64">
        <v>445583.08</v>
      </c>
      <c r="U6" s="64">
        <f>SUM(U7:U28)+(52872)</f>
        <v>95722604841</v>
      </c>
      <c r="V6" s="66">
        <f>X6/W6/12</f>
        <v>15849.557409446386</v>
      </c>
      <c r="W6" s="64">
        <v>533128</v>
      </c>
      <c r="X6" s="65">
        <f>SUM(X7:X28)+(0)</f>
        <v>101398114111</v>
      </c>
      <c r="Y6" s="170" t="s">
        <v>150</v>
      </c>
      <c r="Z6" s="120" t="s">
        <v>17</v>
      </c>
      <c r="AA6" s="63" t="s">
        <v>76</v>
      </c>
      <c r="AB6" s="64">
        <f>AD6/AC6</f>
        <v>115444.73983589592</v>
      </c>
      <c r="AC6" s="64">
        <f>AF6+AI6</f>
        <v>27056</v>
      </c>
      <c r="AD6" s="64">
        <f>AG6+AJ6</f>
        <v>3123472881</v>
      </c>
      <c r="AE6" s="64">
        <f>AG6/AF6</f>
        <v>138196.28401695171</v>
      </c>
      <c r="AF6" s="64">
        <f>SUM(AF7:AF28)+(1)</f>
        <v>13214</v>
      </c>
      <c r="AG6" s="64">
        <f>SUM(AG7:AG28)+(2246)</f>
        <v>1826125697</v>
      </c>
      <c r="AH6" s="64">
        <f>AJ6/AI6</f>
        <v>93725.414246496177</v>
      </c>
      <c r="AI6" s="64">
        <f>SUM(AI7:AI28)+(0)</f>
        <v>13842</v>
      </c>
      <c r="AJ6" s="65">
        <f>SUM(AJ7:AJ28)+(0)</f>
        <v>1297347184</v>
      </c>
      <c r="AK6" s="170" t="s">
        <v>152</v>
      </c>
      <c r="AL6" s="120" t="s">
        <v>17</v>
      </c>
      <c r="AM6" s="63" t="s">
        <v>76</v>
      </c>
      <c r="AN6" s="64">
        <f>AP6/AO6</f>
        <v>831692.0469767442</v>
      </c>
      <c r="AO6" s="64">
        <f>SUM(AO7:AO28)</f>
        <v>4300</v>
      </c>
      <c r="AP6" s="64">
        <f>SUM(AP7:AP28)</f>
        <v>3576275802</v>
      </c>
      <c r="AQ6" s="64">
        <f>AS6/AR6</f>
        <v>866164.54137664346</v>
      </c>
      <c r="AR6" s="64">
        <f t="shared" ref="AR6:AS6" si="4">SUM(AR7:AR28)</f>
        <v>2586</v>
      </c>
      <c r="AS6" s="64">
        <f t="shared" si="4"/>
        <v>2239901504</v>
      </c>
      <c r="AT6" s="64">
        <f>AV6/AU6</f>
        <v>779681.62077012833</v>
      </c>
      <c r="AU6" s="64">
        <f t="shared" ref="AU6:AV6" si="5">SUM(AU7:AU28)</f>
        <v>1714</v>
      </c>
      <c r="AV6" s="65">
        <f t="shared" si="5"/>
        <v>1336374298</v>
      </c>
    </row>
    <row r="7" spans="1:48" ht="24" customHeight="1">
      <c r="A7" s="171"/>
      <c r="B7" s="121"/>
      <c r="C7" s="63" t="s">
        <v>95</v>
      </c>
      <c r="D7" s="64">
        <f t="shared" si="0"/>
        <v>1402576.3102095844</v>
      </c>
      <c r="E7" s="64">
        <f>H7+K7</f>
        <v>16318</v>
      </c>
      <c r="F7" s="64">
        <f>I7+L7</f>
        <v>22887240230</v>
      </c>
      <c r="G7" s="64">
        <f t="shared" ref="G7:G38" si="6">I7/H7</f>
        <v>1418206.3502098969</v>
      </c>
      <c r="H7" s="64">
        <v>7861</v>
      </c>
      <c r="I7" s="64">
        <v>11148520119</v>
      </c>
      <c r="J7" s="64">
        <f t="shared" si="2"/>
        <v>1388047.7842024358</v>
      </c>
      <c r="K7" s="64">
        <v>8457</v>
      </c>
      <c r="L7" s="65">
        <v>11738720111</v>
      </c>
      <c r="M7" s="171"/>
      <c r="N7" s="121"/>
      <c r="O7" s="63" t="s">
        <v>95</v>
      </c>
      <c r="P7" s="64">
        <f t="shared" ref="P7:P28" si="7">R7/Q7/12</f>
        <v>16902.412415846968</v>
      </c>
      <c r="Q7" s="64">
        <v>142650.32999999999</v>
      </c>
      <c r="R7" s="64">
        <f t="shared" ref="R7:R12" si="8">U7+X7</f>
        <v>28933616507</v>
      </c>
      <c r="S7" s="64">
        <f t="shared" ref="S7:S28" si="9">U7/T7/12</f>
        <v>17758.340626518879</v>
      </c>
      <c r="T7" s="64">
        <v>64980.75</v>
      </c>
      <c r="U7" s="64">
        <v>13847403512</v>
      </c>
      <c r="V7" s="66">
        <f t="shared" ref="V7:V28" si="10">X7/W7/12</f>
        <v>16186.316653830238</v>
      </c>
      <c r="W7" s="64">
        <v>77669.58</v>
      </c>
      <c r="X7" s="65">
        <v>15086212995</v>
      </c>
      <c r="Y7" s="171"/>
      <c r="Z7" s="121"/>
      <c r="AA7" s="63" t="s">
        <v>95</v>
      </c>
      <c r="AB7" s="64">
        <f t="shared" ref="AB7:AB38" si="11">AD7/AC7</f>
        <v>118851.16129032258</v>
      </c>
      <c r="AC7" s="64">
        <f>AF7+AI7</f>
        <v>3968</v>
      </c>
      <c r="AD7" s="64">
        <f>AG7+AJ7</f>
        <v>471601408</v>
      </c>
      <c r="AE7" s="64">
        <f t="shared" ref="AE7:AE38" si="12">AG7/AF7</f>
        <v>142297.24265450862</v>
      </c>
      <c r="AF7" s="64">
        <v>1974</v>
      </c>
      <c r="AG7" s="64">
        <v>280894757</v>
      </c>
      <c r="AH7" s="64">
        <f t="shared" ref="AH7:AH38" si="13">AJ7/AI7</f>
        <v>95640.24623871615</v>
      </c>
      <c r="AI7" s="64">
        <v>1994</v>
      </c>
      <c r="AJ7" s="65">
        <v>190706651</v>
      </c>
      <c r="AK7" s="171"/>
      <c r="AL7" s="121"/>
      <c r="AM7" s="63" t="s">
        <v>95</v>
      </c>
      <c r="AN7" s="64">
        <f t="shared" ref="AN7:AN38" si="14">AP7/AO7</f>
        <v>838585.51618705038</v>
      </c>
      <c r="AO7" s="64">
        <f>AR7+AU7</f>
        <v>556</v>
      </c>
      <c r="AP7" s="64">
        <f>AS7+AV7</f>
        <v>466253547</v>
      </c>
      <c r="AQ7" s="64">
        <f t="shared" ref="AQ7:AQ38" si="15">AS7/AR7</f>
        <v>854473.74461538461</v>
      </c>
      <c r="AR7" s="64">
        <v>325</v>
      </c>
      <c r="AS7" s="64">
        <v>277703967</v>
      </c>
      <c r="AT7" s="64">
        <f t="shared" ref="AT7:AT38" si="16">AV7/AU7</f>
        <v>816231.9480519481</v>
      </c>
      <c r="AU7" s="64">
        <v>231</v>
      </c>
      <c r="AV7" s="65">
        <v>188549580</v>
      </c>
    </row>
    <row r="8" spans="1:48" ht="24" customHeight="1">
      <c r="A8" s="171"/>
      <c r="B8" s="121"/>
      <c r="C8" s="63" t="s">
        <v>96</v>
      </c>
      <c r="D8" s="64">
        <f t="shared" si="0"/>
        <v>1375872.390209222</v>
      </c>
      <c r="E8" s="64">
        <f t="shared" ref="E8:F28" si="17">H8+K8</f>
        <v>19692</v>
      </c>
      <c r="F8" s="64">
        <f t="shared" si="17"/>
        <v>27093679108</v>
      </c>
      <c r="G8" s="64">
        <f t="shared" si="6"/>
        <v>1377721.8042605398</v>
      </c>
      <c r="H8" s="64">
        <v>8966</v>
      </c>
      <c r="I8" s="64">
        <v>12352653697</v>
      </c>
      <c r="J8" s="64">
        <f t="shared" si="2"/>
        <v>1374326.4414506806</v>
      </c>
      <c r="K8" s="64">
        <v>10726</v>
      </c>
      <c r="L8" s="65">
        <v>14741025411</v>
      </c>
      <c r="M8" s="171"/>
      <c r="N8" s="121"/>
      <c r="O8" s="63" t="s">
        <v>96</v>
      </c>
      <c r="P8" s="64">
        <f t="shared" si="7"/>
        <v>17131.798631128102</v>
      </c>
      <c r="Q8" s="64">
        <v>200871</v>
      </c>
      <c r="R8" s="64">
        <f t="shared" si="8"/>
        <v>41295378274</v>
      </c>
      <c r="S8" s="64">
        <f t="shared" si="9"/>
        <v>18115.211339238882</v>
      </c>
      <c r="T8" s="64">
        <v>94161.17</v>
      </c>
      <c r="U8" s="64">
        <v>20468993934</v>
      </c>
      <c r="V8" s="66">
        <f t="shared" si="10"/>
        <v>16264.031423659218</v>
      </c>
      <c r="W8" s="64">
        <v>106709.83</v>
      </c>
      <c r="X8" s="67">
        <v>20826384340</v>
      </c>
      <c r="Y8" s="171"/>
      <c r="Z8" s="121"/>
      <c r="AA8" s="63" t="s">
        <v>96</v>
      </c>
      <c r="AB8" s="64">
        <f t="shared" si="11"/>
        <v>117155.25206832132</v>
      </c>
      <c r="AC8" s="64">
        <f t="shared" ref="AC8:AD28" si="18">AF8+AI8</f>
        <v>7494</v>
      </c>
      <c r="AD8" s="64">
        <f t="shared" si="18"/>
        <v>877961459</v>
      </c>
      <c r="AE8" s="64">
        <f t="shared" si="12"/>
        <v>137403.63183791607</v>
      </c>
      <c r="AF8" s="64">
        <v>3455</v>
      </c>
      <c r="AG8" s="64">
        <v>474729548</v>
      </c>
      <c r="AH8" s="64">
        <f t="shared" si="13"/>
        <v>99834.59049269621</v>
      </c>
      <c r="AI8" s="64">
        <v>4039</v>
      </c>
      <c r="AJ8" s="65">
        <v>403231911</v>
      </c>
      <c r="AK8" s="171"/>
      <c r="AL8" s="121"/>
      <c r="AM8" s="63" t="s">
        <v>96</v>
      </c>
      <c r="AN8" s="64">
        <f t="shared" si="14"/>
        <v>855417.9116022099</v>
      </c>
      <c r="AO8" s="64">
        <f t="shared" ref="AO8:AP28" si="19">AR8+AU8</f>
        <v>724</v>
      </c>
      <c r="AP8" s="64">
        <f t="shared" si="19"/>
        <v>619322568</v>
      </c>
      <c r="AQ8" s="64">
        <f t="shared" si="15"/>
        <v>875269.40476190473</v>
      </c>
      <c r="AR8" s="64">
        <v>462</v>
      </c>
      <c r="AS8" s="64">
        <v>404374465</v>
      </c>
      <c r="AT8" s="64">
        <f t="shared" si="16"/>
        <v>820412.60687022901</v>
      </c>
      <c r="AU8" s="64">
        <v>262</v>
      </c>
      <c r="AV8" s="65">
        <v>214948103</v>
      </c>
    </row>
    <row r="9" spans="1:48" ht="24" customHeight="1">
      <c r="A9" s="171"/>
      <c r="B9" s="121"/>
      <c r="C9" s="63" t="s">
        <v>101</v>
      </c>
      <c r="D9" s="64">
        <f t="shared" si="0"/>
        <v>1387217.5884976527</v>
      </c>
      <c r="E9" s="64">
        <f t="shared" si="17"/>
        <v>8520</v>
      </c>
      <c r="F9" s="64">
        <f t="shared" si="17"/>
        <v>11819093854</v>
      </c>
      <c r="G9" s="64">
        <f t="shared" si="6"/>
        <v>1416289.1907407406</v>
      </c>
      <c r="H9" s="64">
        <v>4320</v>
      </c>
      <c r="I9" s="64">
        <v>6118369304</v>
      </c>
      <c r="J9" s="64">
        <f t="shared" si="2"/>
        <v>1357315.3690476189</v>
      </c>
      <c r="K9" s="64">
        <v>4200</v>
      </c>
      <c r="L9" s="65">
        <v>5700724550</v>
      </c>
      <c r="M9" s="171"/>
      <c r="N9" s="121"/>
      <c r="O9" s="63" t="s">
        <v>101</v>
      </c>
      <c r="P9" s="64">
        <f t="shared" si="7"/>
        <v>17313.016356058029</v>
      </c>
      <c r="Q9" s="64">
        <v>67704.17</v>
      </c>
      <c r="R9" s="64">
        <f t="shared" si="8"/>
        <v>14065960831</v>
      </c>
      <c r="S9" s="64">
        <f t="shared" si="9"/>
        <v>18708.981330129976</v>
      </c>
      <c r="T9" s="64">
        <v>33922.75</v>
      </c>
      <c r="U9" s="64">
        <v>7615921157</v>
      </c>
      <c r="V9" s="66">
        <f t="shared" si="10"/>
        <v>15911.211138154249</v>
      </c>
      <c r="W9" s="64">
        <v>33781.42</v>
      </c>
      <c r="X9" s="65">
        <v>6450039674</v>
      </c>
      <c r="Y9" s="171"/>
      <c r="Z9" s="121"/>
      <c r="AA9" s="63" t="s">
        <v>101</v>
      </c>
      <c r="AB9" s="64">
        <f t="shared" si="11"/>
        <v>126828.77725118483</v>
      </c>
      <c r="AC9" s="64">
        <f t="shared" si="18"/>
        <v>1899</v>
      </c>
      <c r="AD9" s="64">
        <f t="shared" si="18"/>
        <v>240847848</v>
      </c>
      <c r="AE9" s="64">
        <f t="shared" si="12"/>
        <v>149463.45647773281</v>
      </c>
      <c r="AF9" s="64">
        <v>988</v>
      </c>
      <c r="AG9" s="64">
        <v>147669895</v>
      </c>
      <c r="AH9" s="64">
        <f t="shared" si="13"/>
        <v>102280.95828759605</v>
      </c>
      <c r="AI9" s="64">
        <v>911</v>
      </c>
      <c r="AJ9" s="65">
        <v>93177953</v>
      </c>
      <c r="AK9" s="171"/>
      <c r="AL9" s="121"/>
      <c r="AM9" s="63" t="s">
        <v>101</v>
      </c>
      <c r="AN9" s="64">
        <f t="shared" si="14"/>
        <v>879496.90416666667</v>
      </c>
      <c r="AO9" s="64">
        <f t="shared" si="19"/>
        <v>240</v>
      </c>
      <c r="AP9" s="64">
        <f t="shared" si="19"/>
        <v>211079257</v>
      </c>
      <c r="AQ9" s="64">
        <f t="shared" si="15"/>
        <v>900254.40410958906</v>
      </c>
      <c r="AR9" s="64">
        <v>146</v>
      </c>
      <c r="AS9" s="64">
        <v>131437143</v>
      </c>
      <c r="AT9" s="64">
        <f t="shared" si="16"/>
        <v>847256.53191489365</v>
      </c>
      <c r="AU9" s="64">
        <v>94</v>
      </c>
      <c r="AV9" s="65">
        <v>79642114</v>
      </c>
    </row>
    <row r="10" spans="1:48" ht="24" customHeight="1">
      <c r="A10" s="171"/>
      <c r="B10" s="121"/>
      <c r="C10" s="63" t="s">
        <v>97</v>
      </c>
      <c r="D10" s="64">
        <f t="shared" si="0"/>
        <v>1266843.659492698</v>
      </c>
      <c r="E10" s="64">
        <f t="shared" si="17"/>
        <v>10408</v>
      </c>
      <c r="F10" s="64">
        <f t="shared" si="17"/>
        <v>13185308808</v>
      </c>
      <c r="G10" s="64">
        <f t="shared" si="6"/>
        <v>1301699.6108658093</v>
      </c>
      <c r="H10" s="64">
        <v>5209</v>
      </c>
      <c r="I10" s="64">
        <v>6780553273</v>
      </c>
      <c r="J10" s="64">
        <f t="shared" si="2"/>
        <v>1231920.6645508751</v>
      </c>
      <c r="K10" s="64">
        <v>5199</v>
      </c>
      <c r="L10" s="65">
        <v>6404755535</v>
      </c>
      <c r="M10" s="171"/>
      <c r="N10" s="121"/>
      <c r="O10" s="63" t="s">
        <v>97</v>
      </c>
      <c r="P10" s="64">
        <f t="shared" si="7"/>
        <v>15920.605552825771</v>
      </c>
      <c r="Q10" s="64">
        <v>92538.83</v>
      </c>
      <c r="R10" s="64">
        <f t="shared" si="8"/>
        <v>17679290529</v>
      </c>
      <c r="S10" s="64">
        <f t="shared" si="9"/>
        <v>17018.264962434678</v>
      </c>
      <c r="T10" s="64">
        <v>45465.25</v>
      </c>
      <c r="U10" s="64">
        <v>9284876053</v>
      </c>
      <c r="V10" s="66">
        <f t="shared" si="10"/>
        <v>14860.449102589322</v>
      </c>
      <c r="W10" s="64">
        <v>47073.58</v>
      </c>
      <c r="X10" s="68">
        <v>8394414476</v>
      </c>
      <c r="Y10" s="171"/>
      <c r="Z10" s="121"/>
      <c r="AA10" s="63" t="s">
        <v>97</v>
      </c>
      <c r="AB10" s="64">
        <f t="shared" si="11"/>
        <v>118947.8434469382</v>
      </c>
      <c r="AC10" s="64">
        <f t="shared" si="18"/>
        <v>3609</v>
      </c>
      <c r="AD10" s="64">
        <f t="shared" si="18"/>
        <v>429282767</v>
      </c>
      <c r="AE10" s="64">
        <f t="shared" si="12"/>
        <v>144492.26877470355</v>
      </c>
      <c r="AF10" s="64">
        <v>1771</v>
      </c>
      <c r="AG10" s="64">
        <v>255895808</v>
      </c>
      <c r="AH10" s="64">
        <f t="shared" si="13"/>
        <v>94334.58052230686</v>
      </c>
      <c r="AI10" s="64">
        <v>1838</v>
      </c>
      <c r="AJ10" s="65">
        <v>173386959</v>
      </c>
      <c r="AK10" s="171"/>
      <c r="AL10" s="121"/>
      <c r="AM10" s="63" t="s">
        <v>97</v>
      </c>
      <c r="AN10" s="64">
        <f t="shared" si="14"/>
        <v>826612.05301204824</v>
      </c>
      <c r="AO10" s="64">
        <f t="shared" si="19"/>
        <v>415</v>
      </c>
      <c r="AP10" s="64">
        <f t="shared" si="19"/>
        <v>343044002</v>
      </c>
      <c r="AQ10" s="64">
        <f t="shared" si="15"/>
        <v>868362.5992366412</v>
      </c>
      <c r="AR10" s="64">
        <v>262</v>
      </c>
      <c r="AS10" s="64">
        <v>227511001</v>
      </c>
      <c r="AT10" s="64">
        <f t="shared" si="16"/>
        <v>755117.65359477128</v>
      </c>
      <c r="AU10" s="64">
        <v>153</v>
      </c>
      <c r="AV10" s="65">
        <v>115533001</v>
      </c>
    </row>
    <row r="11" spans="1:48" ht="24" customHeight="1">
      <c r="A11" s="171"/>
      <c r="B11" s="121"/>
      <c r="C11" s="63" t="s">
        <v>98</v>
      </c>
      <c r="D11" s="64">
        <f t="shared" si="0"/>
        <v>1219496.3201061897</v>
      </c>
      <c r="E11" s="64">
        <f t="shared" si="17"/>
        <v>7157</v>
      </c>
      <c r="F11" s="64">
        <f t="shared" si="17"/>
        <v>8727935163</v>
      </c>
      <c r="G11" s="64">
        <f t="shared" si="6"/>
        <v>1239888.8583584956</v>
      </c>
      <c r="H11" s="64">
        <v>3643</v>
      </c>
      <c r="I11" s="64">
        <v>4516915111</v>
      </c>
      <c r="J11" s="64">
        <f t="shared" si="2"/>
        <v>1198355.1656232213</v>
      </c>
      <c r="K11" s="64">
        <v>3514</v>
      </c>
      <c r="L11" s="65">
        <v>4211020052</v>
      </c>
      <c r="M11" s="171"/>
      <c r="N11" s="121"/>
      <c r="O11" s="63" t="s">
        <v>98</v>
      </c>
      <c r="P11" s="64">
        <f t="shared" si="7"/>
        <v>15288.293635200425</v>
      </c>
      <c r="Q11" s="64">
        <v>71510.5</v>
      </c>
      <c r="R11" s="64">
        <f t="shared" si="8"/>
        <v>13119282264</v>
      </c>
      <c r="S11" s="64">
        <f t="shared" si="9"/>
        <v>16591.308235735807</v>
      </c>
      <c r="T11" s="64">
        <v>33188.17</v>
      </c>
      <c r="U11" s="64">
        <v>6607621899</v>
      </c>
      <c r="V11" s="66">
        <f t="shared" si="10"/>
        <v>14159.847894165097</v>
      </c>
      <c r="W11" s="64">
        <v>38322.33</v>
      </c>
      <c r="X11" s="65">
        <v>6511660365</v>
      </c>
      <c r="Y11" s="171"/>
      <c r="Z11" s="121"/>
      <c r="AA11" s="63" t="s">
        <v>98</v>
      </c>
      <c r="AB11" s="64">
        <f t="shared" si="11"/>
        <v>108392.7847782258</v>
      </c>
      <c r="AC11" s="64">
        <f t="shared" si="18"/>
        <v>1984</v>
      </c>
      <c r="AD11" s="64">
        <f t="shared" si="18"/>
        <v>215051285</v>
      </c>
      <c r="AE11" s="64">
        <f t="shared" si="12"/>
        <v>133108.88854489164</v>
      </c>
      <c r="AF11" s="64">
        <v>969</v>
      </c>
      <c r="AG11" s="64">
        <v>128982513</v>
      </c>
      <c r="AH11" s="64">
        <f t="shared" si="13"/>
        <v>84796.819704433496</v>
      </c>
      <c r="AI11" s="64">
        <v>1015</v>
      </c>
      <c r="AJ11" s="65">
        <v>86068772</v>
      </c>
      <c r="AK11" s="171"/>
      <c r="AL11" s="121"/>
      <c r="AM11" s="63" t="s">
        <v>98</v>
      </c>
      <c r="AN11" s="64">
        <f t="shared" si="14"/>
        <v>761988.95978552278</v>
      </c>
      <c r="AO11" s="64">
        <f t="shared" si="19"/>
        <v>373</v>
      </c>
      <c r="AP11" s="64">
        <f t="shared" si="19"/>
        <v>284221882</v>
      </c>
      <c r="AQ11" s="64">
        <f t="shared" si="15"/>
        <v>812513.09545454546</v>
      </c>
      <c r="AR11" s="64">
        <v>220</v>
      </c>
      <c r="AS11" s="64">
        <v>178752881</v>
      </c>
      <c r="AT11" s="64">
        <f t="shared" si="16"/>
        <v>689339.87581699342</v>
      </c>
      <c r="AU11" s="64">
        <v>153</v>
      </c>
      <c r="AV11" s="65">
        <v>105469001</v>
      </c>
    </row>
    <row r="12" spans="1:48" ht="24" customHeight="1">
      <c r="A12" s="171"/>
      <c r="B12" s="121"/>
      <c r="C12" s="63" t="s">
        <v>99</v>
      </c>
      <c r="D12" s="64">
        <f t="shared" si="0"/>
        <v>1282418.9226415094</v>
      </c>
      <c r="E12" s="64">
        <f t="shared" si="17"/>
        <v>12190</v>
      </c>
      <c r="F12" s="64">
        <f t="shared" si="17"/>
        <v>15632686667</v>
      </c>
      <c r="G12" s="64">
        <f t="shared" si="6"/>
        <v>1295141.5314836351</v>
      </c>
      <c r="H12" s="64">
        <v>6019</v>
      </c>
      <c r="I12" s="64">
        <v>7795456878</v>
      </c>
      <c r="J12" s="64">
        <f t="shared" si="2"/>
        <v>1270009.6887052341</v>
      </c>
      <c r="K12" s="64">
        <v>6171</v>
      </c>
      <c r="L12" s="65">
        <v>7837229789</v>
      </c>
      <c r="M12" s="171"/>
      <c r="N12" s="121"/>
      <c r="O12" s="63" t="s">
        <v>99</v>
      </c>
      <c r="P12" s="64">
        <f t="shared" si="7"/>
        <v>16976.389020095241</v>
      </c>
      <c r="Q12" s="64">
        <v>127238.08</v>
      </c>
      <c r="R12" s="64">
        <f t="shared" si="8"/>
        <v>25920517731</v>
      </c>
      <c r="S12" s="64">
        <f t="shared" si="9"/>
        <v>18788.222891405359</v>
      </c>
      <c r="T12" s="64">
        <v>56782.33</v>
      </c>
      <c r="U12" s="64">
        <v>12802068868</v>
      </c>
      <c r="V12" s="66">
        <f t="shared" si="10"/>
        <v>15516.179615101204</v>
      </c>
      <c r="W12" s="64">
        <v>70455.75</v>
      </c>
      <c r="X12" s="65">
        <v>13118448863</v>
      </c>
      <c r="Y12" s="171"/>
      <c r="Z12" s="121"/>
      <c r="AA12" s="63" t="s">
        <v>99</v>
      </c>
      <c r="AB12" s="64">
        <f t="shared" si="11"/>
        <v>105539.19700598803</v>
      </c>
      <c r="AC12" s="64">
        <f t="shared" si="18"/>
        <v>3340</v>
      </c>
      <c r="AD12" s="64">
        <f t="shared" si="18"/>
        <v>352500918</v>
      </c>
      <c r="AE12" s="64">
        <f t="shared" si="12"/>
        <v>130200.64056720099</v>
      </c>
      <c r="AF12" s="64">
        <v>1622</v>
      </c>
      <c r="AG12" s="64">
        <v>211185439</v>
      </c>
      <c r="AH12" s="64">
        <f t="shared" si="13"/>
        <v>82255.808498253784</v>
      </c>
      <c r="AI12" s="64">
        <v>1718</v>
      </c>
      <c r="AJ12" s="65">
        <v>141315479</v>
      </c>
      <c r="AK12" s="171"/>
      <c r="AL12" s="121"/>
      <c r="AM12" s="63" t="s">
        <v>99</v>
      </c>
      <c r="AN12" s="64">
        <f t="shared" si="14"/>
        <v>837965.9176090468</v>
      </c>
      <c r="AO12" s="64">
        <f t="shared" si="19"/>
        <v>619</v>
      </c>
      <c r="AP12" s="64">
        <f t="shared" si="19"/>
        <v>518700903</v>
      </c>
      <c r="AQ12" s="64">
        <f t="shared" si="15"/>
        <v>891592.7270341207</v>
      </c>
      <c r="AR12" s="64">
        <v>381</v>
      </c>
      <c r="AS12" s="64">
        <v>339696829</v>
      </c>
      <c r="AT12" s="64">
        <f t="shared" si="16"/>
        <v>752117.95798319322</v>
      </c>
      <c r="AU12" s="64">
        <v>238</v>
      </c>
      <c r="AV12" s="65">
        <v>179004074</v>
      </c>
    </row>
    <row r="13" spans="1:48" ht="24" customHeight="1">
      <c r="A13" s="172"/>
      <c r="B13" s="122"/>
      <c r="C13" s="69" t="s">
        <v>77</v>
      </c>
      <c r="D13" s="70">
        <f t="shared" si="0"/>
        <v>1593992.4723969253</v>
      </c>
      <c r="E13" s="70">
        <f t="shared" si="17"/>
        <v>2862</v>
      </c>
      <c r="F13" s="70">
        <f t="shared" si="17"/>
        <v>4562006456</v>
      </c>
      <c r="G13" s="70">
        <f t="shared" si="6"/>
        <v>1562002.4911333846</v>
      </c>
      <c r="H13" s="70">
        <v>1297</v>
      </c>
      <c r="I13" s="70">
        <v>2025917231</v>
      </c>
      <c r="J13" s="70">
        <f t="shared" si="2"/>
        <v>1620504.2971246007</v>
      </c>
      <c r="K13" s="70">
        <v>1565</v>
      </c>
      <c r="L13" s="71">
        <v>2536089225</v>
      </c>
      <c r="M13" s="172"/>
      <c r="N13" s="122"/>
      <c r="O13" s="69" t="s">
        <v>77</v>
      </c>
      <c r="P13" s="70">
        <f t="shared" si="7"/>
        <v>18575.234203846612</v>
      </c>
      <c r="Q13" s="70">
        <v>24458.75</v>
      </c>
      <c r="R13" s="70">
        <f t="shared" ref="R13:R28" si="20">U13+X13</f>
        <v>5451924115</v>
      </c>
      <c r="S13" s="70">
        <f t="shared" si="9"/>
        <v>19203.112571215093</v>
      </c>
      <c r="T13" s="70">
        <v>8922.5</v>
      </c>
      <c r="U13" s="70">
        <v>2056077263</v>
      </c>
      <c r="V13" s="72">
        <f t="shared" si="10"/>
        <v>18214.642379381552</v>
      </c>
      <c r="W13" s="70">
        <v>15536.25</v>
      </c>
      <c r="X13" s="71">
        <v>3395846852</v>
      </c>
      <c r="Y13" s="172"/>
      <c r="Z13" s="122"/>
      <c r="AA13" s="69" t="s">
        <v>77</v>
      </c>
      <c r="AB13" s="70">
        <f t="shared" si="11"/>
        <v>120365.50955414012</v>
      </c>
      <c r="AC13" s="70">
        <f t="shared" si="18"/>
        <v>157</v>
      </c>
      <c r="AD13" s="70">
        <f t="shared" si="18"/>
        <v>18897385</v>
      </c>
      <c r="AE13" s="70">
        <f t="shared" si="12"/>
        <v>129670.92553191489</v>
      </c>
      <c r="AF13" s="70">
        <v>94</v>
      </c>
      <c r="AG13" s="70">
        <v>12189067</v>
      </c>
      <c r="AH13" s="70">
        <f t="shared" si="13"/>
        <v>106481.23809523809</v>
      </c>
      <c r="AI13" s="70">
        <v>63</v>
      </c>
      <c r="AJ13" s="71">
        <v>6708318</v>
      </c>
      <c r="AK13" s="172"/>
      <c r="AL13" s="122"/>
      <c r="AM13" s="69" t="s">
        <v>77</v>
      </c>
      <c r="AN13" s="70">
        <f t="shared" si="14"/>
        <v>810728.12903225806</v>
      </c>
      <c r="AO13" s="70">
        <f t="shared" si="19"/>
        <v>93</v>
      </c>
      <c r="AP13" s="70">
        <f t="shared" si="19"/>
        <v>75397716</v>
      </c>
      <c r="AQ13" s="70">
        <f t="shared" si="15"/>
        <v>859640.95348837215</v>
      </c>
      <c r="AR13" s="70">
        <v>43</v>
      </c>
      <c r="AS13" s="70">
        <v>36964561</v>
      </c>
      <c r="AT13" s="70">
        <f t="shared" si="16"/>
        <v>768663.1</v>
      </c>
      <c r="AU13" s="70">
        <v>50</v>
      </c>
      <c r="AV13" s="71">
        <v>38433155</v>
      </c>
    </row>
    <row r="14" spans="1:48" ht="24" customHeight="1">
      <c r="A14" s="172"/>
      <c r="B14" s="122"/>
      <c r="C14" s="69" t="s">
        <v>79</v>
      </c>
      <c r="D14" s="70">
        <f t="shared" si="0"/>
        <v>1448125.3884335156</v>
      </c>
      <c r="E14" s="70">
        <f t="shared" si="17"/>
        <v>2196</v>
      </c>
      <c r="F14" s="70">
        <f t="shared" si="17"/>
        <v>3180083353</v>
      </c>
      <c r="G14" s="70">
        <f t="shared" si="6"/>
        <v>1473695.904806786</v>
      </c>
      <c r="H14" s="70">
        <v>1061</v>
      </c>
      <c r="I14" s="70">
        <v>1563591355</v>
      </c>
      <c r="J14" s="70">
        <f t="shared" si="2"/>
        <v>1424222.0246696034</v>
      </c>
      <c r="K14" s="70">
        <v>1135</v>
      </c>
      <c r="L14" s="71">
        <v>1616491998</v>
      </c>
      <c r="M14" s="172"/>
      <c r="N14" s="122"/>
      <c r="O14" s="69" t="s">
        <v>79</v>
      </c>
      <c r="P14" s="70">
        <f t="shared" si="7"/>
        <v>17851.57239810568</v>
      </c>
      <c r="Q14" s="70">
        <v>15643.25</v>
      </c>
      <c r="R14" s="70">
        <f t="shared" si="20"/>
        <v>3351079319</v>
      </c>
      <c r="S14" s="70">
        <f t="shared" si="9"/>
        <v>18846.455281524617</v>
      </c>
      <c r="T14" s="70">
        <v>7034.08</v>
      </c>
      <c r="U14" s="70">
        <v>1590809690</v>
      </c>
      <c r="V14" s="72">
        <f t="shared" si="10"/>
        <v>17038.708232036304</v>
      </c>
      <c r="W14" s="70">
        <v>8609.17</v>
      </c>
      <c r="X14" s="71">
        <v>1760269629</v>
      </c>
      <c r="Y14" s="172"/>
      <c r="Z14" s="122"/>
      <c r="AA14" s="69" t="s">
        <v>79</v>
      </c>
      <c r="AB14" s="70">
        <f t="shared" si="11"/>
        <v>144271.79569892472</v>
      </c>
      <c r="AC14" s="70">
        <f t="shared" si="18"/>
        <v>279</v>
      </c>
      <c r="AD14" s="70">
        <f t="shared" si="18"/>
        <v>40251831</v>
      </c>
      <c r="AE14" s="70">
        <f t="shared" si="12"/>
        <v>173626.09790209791</v>
      </c>
      <c r="AF14" s="70">
        <v>143</v>
      </c>
      <c r="AG14" s="70">
        <v>24828532</v>
      </c>
      <c r="AH14" s="70">
        <f t="shared" si="13"/>
        <v>113406.61029411765</v>
      </c>
      <c r="AI14" s="70">
        <v>136</v>
      </c>
      <c r="AJ14" s="71">
        <v>15423299</v>
      </c>
      <c r="AK14" s="172"/>
      <c r="AL14" s="122"/>
      <c r="AM14" s="69" t="s">
        <v>79</v>
      </c>
      <c r="AN14" s="70">
        <f t="shared" si="14"/>
        <v>902205.12727272732</v>
      </c>
      <c r="AO14" s="70">
        <f t="shared" si="19"/>
        <v>55</v>
      </c>
      <c r="AP14" s="70">
        <f t="shared" si="19"/>
        <v>49621282</v>
      </c>
      <c r="AQ14" s="70">
        <f t="shared" si="15"/>
        <v>865008.0588235294</v>
      </c>
      <c r="AR14" s="70">
        <v>34</v>
      </c>
      <c r="AS14" s="70">
        <v>29410274</v>
      </c>
      <c r="AT14" s="70">
        <f t="shared" si="16"/>
        <v>962428.95238095243</v>
      </c>
      <c r="AU14" s="70">
        <v>21</v>
      </c>
      <c r="AV14" s="71">
        <v>20211008</v>
      </c>
    </row>
    <row r="15" spans="1:48" ht="24" customHeight="1">
      <c r="A15" s="172"/>
      <c r="B15" s="122"/>
      <c r="C15" s="69" t="s">
        <v>80</v>
      </c>
      <c r="D15" s="70">
        <f t="shared" si="0"/>
        <v>1395155.3159448819</v>
      </c>
      <c r="E15" s="70">
        <f t="shared" si="17"/>
        <v>2032</v>
      </c>
      <c r="F15" s="70">
        <f t="shared" si="17"/>
        <v>2834955602</v>
      </c>
      <c r="G15" s="70">
        <f t="shared" si="6"/>
        <v>1398200.8989898991</v>
      </c>
      <c r="H15" s="70">
        <v>990</v>
      </c>
      <c r="I15" s="70">
        <v>1384218890</v>
      </c>
      <c r="J15" s="70">
        <f t="shared" si="2"/>
        <v>1392261.7197696737</v>
      </c>
      <c r="K15" s="70">
        <v>1042</v>
      </c>
      <c r="L15" s="71">
        <v>1450736712</v>
      </c>
      <c r="M15" s="172"/>
      <c r="N15" s="122"/>
      <c r="O15" s="69" t="s">
        <v>80</v>
      </c>
      <c r="P15" s="70">
        <f t="shared" si="7"/>
        <v>17116.156189207944</v>
      </c>
      <c r="Q15" s="70">
        <v>19434.419999999998</v>
      </c>
      <c r="R15" s="70">
        <f t="shared" si="20"/>
        <v>3991710818</v>
      </c>
      <c r="S15" s="70">
        <f t="shared" si="9"/>
        <v>18307.949621158117</v>
      </c>
      <c r="T15" s="70">
        <v>8486.83</v>
      </c>
      <c r="U15" s="70">
        <v>1864517473</v>
      </c>
      <c r="V15" s="72">
        <f t="shared" si="10"/>
        <v>16192.264599421365</v>
      </c>
      <c r="W15" s="70">
        <v>10947.58</v>
      </c>
      <c r="X15" s="71">
        <v>2127193345</v>
      </c>
      <c r="Y15" s="172"/>
      <c r="Z15" s="122"/>
      <c r="AA15" s="69" t="s">
        <v>80</v>
      </c>
      <c r="AB15" s="70">
        <f t="shared" si="11"/>
        <v>108411.57643312102</v>
      </c>
      <c r="AC15" s="70">
        <f t="shared" si="18"/>
        <v>314</v>
      </c>
      <c r="AD15" s="70">
        <f t="shared" si="18"/>
        <v>34041235</v>
      </c>
      <c r="AE15" s="70">
        <f t="shared" si="12"/>
        <v>122148.91558441559</v>
      </c>
      <c r="AF15" s="70">
        <v>154</v>
      </c>
      <c r="AG15" s="70">
        <v>18810933</v>
      </c>
      <c r="AH15" s="70">
        <f t="shared" si="13"/>
        <v>95189.387499999997</v>
      </c>
      <c r="AI15" s="70">
        <v>160</v>
      </c>
      <c r="AJ15" s="71">
        <v>15230302</v>
      </c>
      <c r="AK15" s="172"/>
      <c r="AL15" s="122"/>
      <c r="AM15" s="69" t="s">
        <v>80</v>
      </c>
      <c r="AN15" s="70">
        <f t="shared" si="14"/>
        <v>911236.84337349399</v>
      </c>
      <c r="AO15" s="70">
        <f t="shared" si="19"/>
        <v>83</v>
      </c>
      <c r="AP15" s="70">
        <f t="shared" si="19"/>
        <v>75632658</v>
      </c>
      <c r="AQ15" s="70">
        <f t="shared" si="15"/>
        <v>898496.4705882353</v>
      </c>
      <c r="AR15" s="70">
        <v>51</v>
      </c>
      <c r="AS15" s="70">
        <v>45823320</v>
      </c>
      <c r="AT15" s="70">
        <f t="shared" si="16"/>
        <v>931541.8125</v>
      </c>
      <c r="AU15" s="70">
        <v>32</v>
      </c>
      <c r="AV15" s="71">
        <v>29809338</v>
      </c>
    </row>
    <row r="16" spans="1:48" ht="24" customHeight="1">
      <c r="A16" s="172"/>
      <c r="B16" s="122"/>
      <c r="C16" s="69" t="s">
        <v>81</v>
      </c>
      <c r="D16" s="70">
        <f t="shared" si="0"/>
        <v>1357176.325005892</v>
      </c>
      <c r="E16" s="70">
        <f t="shared" si="17"/>
        <v>4243</v>
      </c>
      <c r="F16" s="70">
        <f t="shared" si="17"/>
        <v>5758499147</v>
      </c>
      <c r="G16" s="70">
        <f t="shared" si="6"/>
        <v>1391595.3654121009</v>
      </c>
      <c r="H16" s="70">
        <v>2099</v>
      </c>
      <c r="I16" s="70">
        <v>2920958672</v>
      </c>
      <c r="J16" s="70">
        <f t="shared" si="2"/>
        <v>1323479.6991604478</v>
      </c>
      <c r="K16" s="70">
        <v>2144</v>
      </c>
      <c r="L16" s="71">
        <v>2837540475</v>
      </c>
      <c r="M16" s="172"/>
      <c r="N16" s="122"/>
      <c r="O16" s="69" t="s">
        <v>81</v>
      </c>
      <c r="P16" s="70">
        <f t="shared" si="7"/>
        <v>15882.28677017725</v>
      </c>
      <c r="Q16" s="70">
        <v>45764.08</v>
      </c>
      <c r="R16" s="70">
        <f t="shared" si="20"/>
        <v>8722058908</v>
      </c>
      <c r="S16" s="70">
        <f t="shared" si="9"/>
        <v>16975.587584643072</v>
      </c>
      <c r="T16" s="70">
        <v>21685.67</v>
      </c>
      <c r="U16" s="70">
        <v>4417523885</v>
      </c>
      <c r="V16" s="72">
        <f t="shared" si="10"/>
        <v>14897.624176198717</v>
      </c>
      <c r="W16" s="70">
        <v>24078.42</v>
      </c>
      <c r="X16" s="71">
        <v>4304535023</v>
      </c>
      <c r="Y16" s="172"/>
      <c r="Z16" s="122"/>
      <c r="AA16" s="69" t="s">
        <v>81</v>
      </c>
      <c r="AB16" s="70">
        <f t="shared" si="11"/>
        <v>106162.77642656688</v>
      </c>
      <c r="AC16" s="70">
        <f t="shared" si="18"/>
        <v>1069</v>
      </c>
      <c r="AD16" s="70">
        <f t="shared" si="18"/>
        <v>113488008</v>
      </c>
      <c r="AE16" s="70">
        <f t="shared" si="12"/>
        <v>130472.38533834586</v>
      </c>
      <c r="AF16" s="70">
        <v>532</v>
      </c>
      <c r="AG16" s="70">
        <v>69411309</v>
      </c>
      <c r="AH16" s="70">
        <f t="shared" si="13"/>
        <v>82079.513966480445</v>
      </c>
      <c r="AI16" s="70">
        <v>537</v>
      </c>
      <c r="AJ16" s="71">
        <v>44076699</v>
      </c>
      <c r="AK16" s="172"/>
      <c r="AL16" s="122"/>
      <c r="AM16" s="69" t="s">
        <v>81</v>
      </c>
      <c r="AN16" s="70">
        <f t="shared" si="14"/>
        <v>797252.93939393945</v>
      </c>
      <c r="AO16" s="70">
        <f t="shared" si="19"/>
        <v>231</v>
      </c>
      <c r="AP16" s="70">
        <f t="shared" si="19"/>
        <v>184165429</v>
      </c>
      <c r="AQ16" s="70">
        <f t="shared" si="15"/>
        <v>860310.89932885906</v>
      </c>
      <c r="AR16" s="70">
        <v>149</v>
      </c>
      <c r="AS16" s="70">
        <v>128186324</v>
      </c>
      <c r="AT16" s="70">
        <f t="shared" si="16"/>
        <v>682672.01219512196</v>
      </c>
      <c r="AU16" s="70">
        <v>82</v>
      </c>
      <c r="AV16" s="71">
        <v>55979105</v>
      </c>
    </row>
    <row r="17" spans="1:48" ht="24" customHeight="1">
      <c r="A17" s="172"/>
      <c r="B17" s="122"/>
      <c r="C17" s="69" t="s">
        <v>82</v>
      </c>
      <c r="D17" s="70">
        <f t="shared" si="0"/>
        <v>1373110.9643866592</v>
      </c>
      <c r="E17" s="70">
        <f t="shared" si="17"/>
        <v>1769</v>
      </c>
      <c r="F17" s="70">
        <f t="shared" si="17"/>
        <v>2429033296</v>
      </c>
      <c r="G17" s="70">
        <f t="shared" si="6"/>
        <v>1351481.8333333333</v>
      </c>
      <c r="H17" s="70">
        <v>804</v>
      </c>
      <c r="I17" s="70">
        <v>1086591394</v>
      </c>
      <c r="J17" s="70">
        <f t="shared" si="2"/>
        <v>1391131.5046632125</v>
      </c>
      <c r="K17" s="70">
        <v>965</v>
      </c>
      <c r="L17" s="71">
        <v>1342441902</v>
      </c>
      <c r="M17" s="172"/>
      <c r="N17" s="122"/>
      <c r="O17" s="69" t="s">
        <v>82</v>
      </c>
      <c r="P17" s="70">
        <f t="shared" si="7"/>
        <v>16875.675550231776</v>
      </c>
      <c r="Q17" s="70">
        <v>22047.83</v>
      </c>
      <c r="R17" s="70">
        <f t="shared" si="20"/>
        <v>4464864308</v>
      </c>
      <c r="S17" s="70">
        <f t="shared" si="9"/>
        <v>17647.209497020005</v>
      </c>
      <c r="T17" s="70">
        <v>8777.42</v>
      </c>
      <c r="U17" s="70">
        <v>1858763635</v>
      </c>
      <c r="V17" s="72">
        <f t="shared" si="10"/>
        <v>16365.349106006694</v>
      </c>
      <c r="W17" s="70">
        <v>13270.42</v>
      </c>
      <c r="X17" s="71">
        <v>2606100673</v>
      </c>
      <c r="Y17" s="172"/>
      <c r="Z17" s="122"/>
      <c r="AA17" s="69" t="s">
        <v>82</v>
      </c>
      <c r="AB17" s="70">
        <f t="shared" si="11"/>
        <v>116867.93965517242</v>
      </c>
      <c r="AC17" s="70">
        <f t="shared" si="18"/>
        <v>348</v>
      </c>
      <c r="AD17" s="70">
        <f t="shared" si="18"/>
        <v>40670043</v>
      </c>
      <c r="AE17" s="70">
        <f t="shared" si="12"/>
        <v>136740.625</v>
      </c>
      <c r="AF17" s="70">
        <v>192</v>
      </c>
      <c r="AG17" s="70">
        <v>26254200</v>
      </c>
      <c r="AH17" s="70">
        <f t="shared" si="13"/>
        <v>92409.25</v>
      </c>
      <c r="AI17" s="70">
        <v>156</v>
      </c>
      <c r="AJ17" s="71">
        <v>14415843</v>
      </c>
      <c r="AK17" s="172"/>
      <c r="AL17" s="122"/>
      <c r="AM17" s="69" t="s">
        <v>82</v>
      </c>
      <c r="AN17" s="70">
        <f t="shared" si="14"/>
        <v>864417.27642276417</v>
      </c>
      <c r="AO17" s="70">
        <f t="shared" si="19"/>
        <v>123</v>
      </c>
      <c r="AP17" s="70">
        <f t="shared" si="19"/>
        <v>106323325</v>
      </c>
      <c r="AQ17" s="70">
        <f t="shared" si="15"/>
        <v>893992.39726027392</v>
      </c>
      <c r="AR17" s="70">
        <v>73</v>
      </c>
      <c r="AS17" s="70">
        <v>65261445</v>
      </c>
      <c r="AT17" s="70">
        <f t="shared" si="16"/>
        <v>821237.6</v>
      </c>
      <c r="AU17" s="70">
        <v>50</v>
      </c>
      <c r="AV17" s="71">
        <v>41061880</v>
      </c>
    </row>
    <row r="18" spans="1:48" ht="24" customHeight="1">
      <c r="A18" s="172"/>
      <c r="B18" s="122"/>
      <c r="C18" s="69" t="s">
        <v>83</v>
      </c>
      <c r="D18" s="70">
        <f t="shared" si="0"/>
        <v>1375404.4053830227</v>
      </c>
      <c r="E18" s="70">
        <f t="shared" si="17"/>
        <v>2415</v>
      </c>
      <c r="F18" s="70">
        <f t="shared" si="17"/>
        <v>3321601639</v>
      </c>
      <c r="G18" s="70">
        <f t="shared" si="6"/>
        <v>1335287.7953568357</v>
      </c>
      <c r="H18" s="70">
        <v>1163</v>
      </c>
      <c r="I18" s="70">
        <v>1552939706</v>
      </c>
      <c r="J18" s="70">
        <f t="shared" si="2"/>
        <v>1412669.2755591054</v>
      </c>
      <c r="K18" s="70">
        <v>1252</v>
      </c>
      <c r="L18" s="71">
        <v>1768661933</v>
      </c>
      <c r="M18" s="172"/>
      <c r="N18" s="122"/>
      <c r="O18" s="69" t="s">
        <v>83</v>
      </c>
      <c r="P18" s="70">
        <f t="shared" si="7"/>
        <v>16125.841964789841</v>
      </c>
      <c r="Q18" s="70">
        <v>27705.83</v>
      </c>
      <c r="R18" s="70">
        <f t="shared" si="20"/>
        <v>5361358033</v>
      </c>
      <c r="S18" s="70">
        <f t="shared" si="9"/>
        <v>17151.859423759674</v>
      </c>
      <c r="T18" s="70">
        <v>11636.58</v>
      </c>
      <c r="U18" s="70">
        <v>2395067812</v>
      </c>
      <c r="V18" s="72">
        <f t="shared" si="10"/>
        <v>15382.849339577144</v>
      </c>
      <c r="W18" s="70">
        <v>16069.25</v>
      </c>
      <c r="X18" s="71">
        <v>2966290221</v>
      </c>
      <c r="Y18" s="172"/>
      <c r="Z18" s="122"/>
      <c r="AA18" s="69" t="s">
        <v>83</v>
      </c>
      <c r="AB18" s="70">
        <f t="shared" si="11"/>
        <v>114817.11320754717</v>
      </c>
      <c r="AC18" s="70">
        <f t="shared" si="18"/>
        <v>318</v>
      </c>
      <c r="AD18" s="70">
        <f t="shared" si="18"/>
        <v>36511842</v>
      </c>
      <c r="AE18" s="70">
        <f t="shared" si="12"/>
        <v>135750.76</v>
      </c>
      <c r="AF18" s="70">
        <v>175</v>
      </c>
      <c r="AG18" s="70">
        <v>23756383</v>
      </c>
      <c r="AH18" s="70">
        <f t="shared" si="13"/>
        <v>89199.01398601399</v>
      </c>
      <c r="AI18" s="70">
        <v>143</v>
      </c>
      <c r="AJ18" s="71">
        <v>12755459</v>
      </c>
      <c r="AK18" s="172"/>
      <c r="AL18" s="122"/>
      <c r="AM18" s="69" t="s">
        <v>83</v>
      </c>
      <c r="AN18" s="70">
        <f t="shared" si="14"/>
        <v>728277.51265822782</v>
      </c>
      <c r="AO18" s="70">
        <f t="shared" si="19"/>
        <v>158</v>
      </c>
      <c r="AP18" s="70">
        <f t="shared" si="19"/>
        <v>115067847</v>
      </c>
      <c r="AQ18" s="70">
        <f t="shared" si="15"/>
        <v>774236.90625</v>
      </c>
      <c r="AR18" s="70">
        <v>96</v>
      </c>
      <c r="AS18" s="70">
        <v>74326743</v>
      </c>
      <c r="AT18" s="70">
        <f t="shared" si="16"/>
        <v>657114.58064516133</v>
      </c>
      <c r="AU18" s="70">
        <v>62</v>
      </c>
      <c r="AV18" s="71">
        <v>40741104</v>
      </c>
    </row>
    <row r="19" spans="1:48" ht="24" customHeight="1">
      <c r="A19" s="172"/>
      <c r="B19" s="122"/>
      <c r="C19" s="69" t="s">
        <v>84</v>
      </c>
      <c r="D19" s="70">
        <f t="shared" si="0"/>
        <v>1273319.9546332047</v>
      </c>
      <c r="E19" s="70">
        <f t="shared" si="17"/>
        <v>1036</v>
      </c>
      <c r="F19" s="70">
        <f t="shared" si="17"/>
        <v>1319159473</v>
      </c>
      <c r="G19" s="70">
        <f t="shared" si="6"/>
        <v>1261465.262295082</v>
      </c>
      <c r="H19" s="70">
        <v>549</v>
      </c>
      <c r="I19" s="70">
        <v>692544429</v>
      </c>
      <c r="J19" s="70">
        <f t="shared" si="2"/>
        <v>1286683.8685831623</v>
      </c>
      <c r="K19" s="70">
        <v>487</v>
      </c>
      <c r="L19" s="71">
        <v>626615044</v>
      </c>
      <c r="M19" s="172"/>
      <c r="N19" s="122"/>
      <c r="O19" s="69" t="s">
        <v>84</v>
      </c>
      <c r="P19" s="70">
        <f t="shared" si="7"/>
        <v>16327.569445103809</v>
      </c>
      <c r="Q19" s="70">
        <v>9478.83</v>
      </c>
      <c r="R19" s="70">
        <f t="shared" si="20"/>
        <v>1857195061</v>
      </c>
      <c r="S19" s="70">
        <f t="shared" si="9"/>
        <v>17513.56392914872</v>
      </c>
      <c r="T19" s="70">
        <v>4425.42</v>
      </c>
      <c r="U19" s="70">
        <v>930058513</v>
      </c>
      <c r="V19" s="72">
        <f t="shared" si="10"/>
        <v>15288.928883805422</v>
      </c>
      <c r="W19" s="70">
        <v>5053.42</v>
      </c>
      <c r="X19" s="71">
        <v>927136548</v>
      </c>
      <c r="Y19" s="172"/>
      <c r="Z19" s="122"/>
      <c r="AA19" s="69" t="s">
        <v>84</v>
      </c>
      <c r="AB19" s="70">
        <f t="shared" si="11"/>
        <v>95796.537366548044</v>
      </c>
      <c r="AC19" s="70">
        <f t="shared" si="18"/>
        <v>281</v>
      </c>
      <c r="AD19" s="70">
        <f t="shared" si="18"/>
        <v>26918827</v>
      </c>
      <c r="AE19" s="70">
        <f t="shared" si="12"/>
        <v>118067.0134228188</v>
      </c>
      <c r="AF19" s="70">
        <v>149</v>
      </c>
      <c r="AG19" s="70">
        <v>17591985</v>
      </c>
      <c r="AH19" s="70">
        <f t="shared" si="13"/>
        <v>70657.893939393936</v>
      </c>
      <c r="AI19" s="70">
        <v>132</v>
      </c>
      <c r="AJ19" s="71">
        <v>9326842</v>
      </c>
      <c r="AK19" s="172"/>
      <c r="AL19" s="122"/>
      <c r="AM19" s="69" t="s">
        <v>84</v>
      </c>
      <c r="AN19" s="70">
        <f t="shared" si="14"/>
        <v>703600.95161290327</v>
      </c>
      <c r="AO19" s="70">
        <f t="shared" si="19"/>
        <v>62</v>
      </c>
      <c r="AP19" s="70">
        <f t="shared" si="19"/>
        <v>43623259</v>
      </c>
      <c r="AQ19" s="70">
        <f t="shared" si="15"/>
        <v>748508.375</v>
      </c>
      <c r="AR19" s="70">
        <v>32</v>
      </c>
      <c r="AS19" s="70">
        <v>23952268</v>
      </c>
      <c r="AT19" s="70">
        <f t="shared" si="16"/>
        <v>655699.69999999995</v>
      </c>
      <c r="AU19" s="70">
        <v>30</v>
      </c>
      <c r="AV19" s="71">
        <v>19670991</v>
      </c>
    </row>
    <row r="20" spans="1:48" ht="24" customHeight="1">
      <c r="A20" s="172"/>
      <c r="B20" s="122"/>
      <c r="C20" s="69" t="s">
        <v>85</v>
      </c>
      <c r="D20" s="70">
        <f t="shared" si="0"/>
        <v>1250481.3047957371</v>
      </c>
      <c r="E20" s="70">
        <f t="shared" si="17"/>
        <v>2815</v>
      </c>
      <c r="F20" s="70">
        <f t="shared" si="17"/>
        <v>3520104873</v>
      </c>
      <c r="G20" s="70">
        <f t="shared" si="6"/>
        <v>1259269.8764619883</v>
      </c>
      <c r="H20" s="70">
        <v>1368</v>
      </c>
      <c r="I20" s="70">
        <v>1722681191</v>
      </c>
      <c r="J20" s="70">
        <f t="shared" si="2"/>
        <v>1242172.5514858328</v>
      </c>
      <c r="K20" s="70">
        <v>1447</v>
      </c>
      <c r="L20" s="71">
        <v>1797423682</v>
      </c>
      <c r="M20" s="172"/>
      <c r="N20" s="122"/>
      <c r="O20" s="69" t="s">
        <v>85</v>
      </c>
      <c r="P20" s="70">
        <f t="shared" si="7"/>
        <v>15738.806247206792</v>
      </c>
      <c r="Q20" s="70">
        <v>26105</v>
      </c>
      <c r="R20" s="70">
        <f t="shared" si="20"/>
        <v>4930338445</v>
      </c>
      <c r="S20" s="70">
        <f t="shared" si="9"/>
        <v>16708.286502225568</v>
      </c>
      <c r="T20" s="70">
        <v>10913.33</v>
      </c>
      <c r="U20" s="70">
        <v>2188116532</v>
      </c>
      <c r="V20" s="72">
        <f t="shared" si="10"/>
        <v>15042.354971507411</v>
      </c>
      <c r="W20" s="70">
        <v>15191.67</v>
      </c>
      <c r="X20" s="71">
        <v>2742221913</v>
      </c>
      <c r="Y20" s="172"/>
      <c r="Z20" s="122"/>
      <c r="AA20" s="69" t="s">
        <v>85</v>
      </c>
      <c r="AB20" s="70">
        <f t="shared" si="11"/>
        <v>103793.07570422535</v>
      </c>
      <c r="AC20" s="70">
        <f t="shared" si="18"/>
        <v>568</v>
      </c>
      <c r="AD20" s="70">
        <f t="shared" si="18"/>
        <v>58954467</v>
      </c>
      <c r="AE20" s="70">
        <f t="shared" si="12"/>
        <v>128811.20070422535</v>
      </c>
      <c r="AF20" s="70">
        <v>284</v>
      </c>
      <c r="AG20" s="70">
        <v>36582381</v>
      </c>
      <c r="AH20" s="70">
        <f t="shared" si="13"/>
        <v>78774.950704225354</v>
      </c>
      <c r="AI20" s="70">
        <v>284</v>
      </c>
      <c r="AJ20" s="71">
        <v>22372086</v>
      </c>
      <c r="AK20" s="172"/>
      <c r="AL20" s="122"/>
      <c r="AM20" s="69" t="s">
        <v>85</v>
      </c>
      <c r="AN20" s="70">
        <f t="shared" si="14"/>
        <v>738392.55629139068</v>
      </c>
      <c r="AO20" s="70">
        <f t="shared" si="19"/>
        <v>151</v>
      </c>
      <c r="AP20" s="70">
        <f t="shared" si="19"/>
        <v>111497276</v>
      </c>
      <c r="AQ20" s="70">
        <f t="shared" si="15"/>
        <v>768458.375</v>
      </c>
      <c r="AR20" s="70">
        <v>88</v>
      </c>
      <c r="AS20" s="70">
        <v>67624337</v>
      </c>
      <c r="AT20" s="70">
        <f t="shared" si="16"/>
        <v>696395.85714285716</v>
      </c>
      <c r="AU20" s="70">
        <v>63</v>
      </c>
      <c r="AV20" s="71">
        <v>43872939</v>
      </c>
    </row>
    <row r="21" spans="1:48" ht="24" customHeight="1">
      <c r="A21" s="172"/>
      <c r="B21" s="122"/>
      <c r="C21" s="69" t="s">
        <v>86</v>
      </c>
      <c r="D21" s="70">
        <f t="shared" si="0"/>
        <v>1106305.9042424243</v>
      </c>
      <c r="E21" s="70">
        <f t="shared" si="17"/>
        <v>825</v>
      </c>
      <c r="F21" s="70">
        <f t="shared" si="17"/>
        <v>912702371</v>
      </c>
      <c r="G21" s="70">
        <f t="shared" si="6"/>
        <v>1122337.5907928389</v>
      </c>
      <c r="H21" s="70">
        <v>391</v>
      </c>
      <c r="I21" s="70">
        <v>438833998</v>
      </c>
      <c r="J21" s="70">
        <f t="shared" si="2"/>
        <v>1091862.6105990782</v>
      </c>
      <c r="K21" s="70">
        <v>434</v>
      </c>
      <c r="L21" s="71">
        <v>473868373</v>
      </c>
      <c r="M21" s="172"/>
      <c r="N21" s="122"/>
      <c r="O21" s="69" t="s">
        <v>86</v>
      </c>
      <c r="P21" s="70">
        <f t="shared" si="7"/>
        <v>16006.760818655139</v>
      </c>
      <c r="Q21" s="70">
        <v>6318.33</v>
      </c>
      <c r="R21" s="70">
        <f t="shared" si="20"/>
        <v>1213631965</v>
      </c>
      <c r="S21" s="70">
        <f t="shared" si="9"/>
        <v>17136.572961137597</v>
      </c>
      <c r="T21" s="70">
        <v>2487.58</v>
      </c>
      <c r="U21" s="70">
        <v>511543154</v>
      </c>
      <c r="V21" s="72">
        <f t="shared" si="10"/>
        <v>15273.092975701016</v>
      </c>
      <c r="W21" s="70">
        <v>3830.75</v>
      </c>
      <c r="X21" s="71">
        <v>702088811</v>
      </c>
      <c r="Y21" s="172"/>
      <c r="Z21" s="122"/>
      <c r="AA21" s="69" t="s">
        <v>86</v>
      </c>
      <c r="AB21" s="70">
        <f t="shared" si="11"/>
        <v>128953.04301075269</v>
      </c>
      <c r="AC21" s="70">
        <f t="shared" si="18"/>
        <v>186</v>
      </c>
      <c r="AD21" s="70">
        <f t="shared" si="18"/>
        <v>23985266</v>
      </c>
      <c r="AE21" s="70">
        <f t="shared" si="12"/>
        <v>145393.63888888888</v>
      </c>
      <c r="AF21" s="70">
        <v>108</v>
      </c>
      <c r="AG21" s="70">
        <v>15702513</v>
      </c>
      <c r="AH21" s="70">
        <f t="shared" si="13"/>
        <v>106189.14102564103</v>
      </c>
      <c r="AI21" s="70">
        <v>78</v>
      </c>
      <c r="AJ21" s="71">
        <v>8282753</v>
      </c>
      <c r="AK21" s="172"/>
      <c r="AL21" s="122"/>
      <c r="AM21" s="69" t="s">
        <v>86</v>
      </c>
      <c r="AN21" s="70">
        <f t="shared" si="14"/>
        <v>691813.09090909094</v>
      </c>
      <c r="AO21" s="70">
        <f t="shared" si="19"/>
        <v>44</v>
      </c>
      <c r="AP21" s="70">
        <f t="shared" si="19"/>
        <v>30439776</v>
      </c>
      <c r="AQ21" s="70">
        <f t="shared" si="15"/>
        <v>642872</v>
      </c>
      <c r="AR21" s="70">
        <v>21</v>
      </c>
      <c r="AS21" s="70">
        <v>13500312</v>
      </c>
      <c r="AT21" s="70">
        <f t="shared" si="16"/>
        <v>736498.43478260865</v>
      </c>
      <c r="AU21" s="70">
        <v>23</v>
      </c>
      <c r="AV21" s="71">
        <v>16939464</v>
      </c>
    </row>
    <row r="22" spans="1:48" ht="24" customHeight="1">
      <c r="A22" s="172"/>
      <c r="B22" s="122"/>
      <c r="C22" s="69" t="s">
        <v>87</v>
      </c>
      <c r="D22" s="70">
        <f t="shared" si="0"/>
        <v>1281898.0784641069</v>
      </c>
      <c r="E22" s="70">
        <f t="shared" si="17"/>
        <v>1797</v>
      </c>
      <c r="F22" s="70">
        <f t="shared" si="17"/>
        <v>2303570847</v>
      </c>
      <c r="G22" s="70">
        <f t="shared" si="6"/>
        <v>1291211.6152954809</v>
      </c>
      <c r="H22" s="70">
        <v>863</v>
      </c>
      <c r="I22" s="70">
        <v>1114315624</v>
      </c>
      <c r="J22" s="70">
        <f t="shared" si="2"/>
        <v>1273292.5299785868</v>
      </c>
      <c r="K22" s="70">
        <v>934</v>
      </c>
      <c r="L22" s="71">
        <v>1189255223</v>
      </c>
      <c r="M22" s="172"/>
      <c r="N22" s="122"/>
      <c r="O22" s="69" t="s">
        <v>87</v>
      </c>
      <c r="P22" s="70">
        <f t="shared" si="7"/>
        <v>17589.93822518492</v>
      </c>
      <c r="Q22" s="70">
        <v>14906.83</v>
      </c>
      <c r="R22" s="70">
        <f t="shared" si="20"/>
        <v>3146522626</v>
      </c>
      <c r="S22" s="70">
        <f t="shared" si="9"/>
        <v>18903.271651592997</v>
      </c>
      <c r="T22" s="70">
        <v>5887.75</v>
      </c>
      <c r="U22" s="70">
        <v>1335572852</v>
      </c>
      <c r="V22" s="72">
        <f t="shared" si="10"/>
        <v>16732.580392530796</v>
      </c>
      <c r="W22" s="70">
        <v>9019.08</v>
      </c>
      <c r="X22" s="71">
        <v>1810949774</v>
      </c>
      <c r="Y22" s="172"/>
      <c r="Z22" s="122"/>
      <c r="AA22" s="69" t="s">
        <v>87</v>
      </c>
      <c r="AB22" s="70">
        <f t="shared" si="11"/>
        <v>115940.31558935362</v>
      </c>
      <c r="AC22" s="70">
        <f t="shared" si="18"/>
        <v>263</v>
      </c>
      <c r="AD22" s="70">
        <f t="shared" si="18"/>
        <v>30492303</v>
      </c>
      <c r="AE22" s="70">
        <f t="shared" si="12"/>
        <v>128906.5294117647</v>
      </c>
      <c r="AF22" s="70">
        <v>136</v>
      </c>
      <c r="AG22" s="70">
        <v>17531288</v>
      </c>
      <c r="AH22" s="70">
        <f t="shared" si="13"/>
        <v>102055.23622047243</v>
      </c>
      <c r="AI22" s="70">
        <v>127</v>
      </c>
      <c r="AJ22" s="71">
        <v>12961015</v>
      </c>
      <c r="AK22" s="172"/>
      <c r="AL22" s="122"/>
      <c r="AM22" s="69" t="s">
        <v>87</v>
      </c>
      <c r="AN22" s="70">
        <f t="shared" si="14"/>
        <v>802947.41538461542</v>
      </c>
      <c r="AO22" s="70">
        <f t="shared" si="19"/>
        <v>65</v>
      </c>
      <c r="AP22" s="70">
        <f t="shared" si="19"/>
        <v>52191582</v>
      </c>
      <c r="AQ22" s="70">
        <f t="shared" si="15"/>
        <v>865080.15625</v>
      </c>
      <c r="AR22" s="70">
        <v>32</v>
      </c>
      <c r="AS22" s="70">
        <v>27682565</v>
      </c>
      <c r="AT22" s="70">
        <f t="shared" si="16"/>
        <v>742697.48484848486</v>
      </c>
      <c r="AU22" s="70">
        <v>33</v>
      </c>
      <c r="AV22" s="71">
        <v>24509017</v>
      </c>
    </row>
    <row r="23" spans="1:48" ht="24" customHeight="1">
      <c r="A23" s="172"/>
      <c r="B23" s="122"/>
      <c r="C23" s="69" t="s">
        <v>88</v>
      </c>
      <c r="D23" s="70">
        <f t="shared" si="0"/>
        <v>1376991.9792960663</v>
      </c>
      <c r="E23" s="70">
        <f t="shared" si="17"/>
        <v>483</v>
      </c>
      <c r="F23" s="70">
        <f t="shared" si="17"/>
        <v>665087126</v>
      </c>
      <c r="G23" s="70">
        <f t="shared" si="6"/>
        <v>1322526.5799256505</v>
      </c>
      <c r="H23" s="70">
        <v>269</v>
      </c>
      <c r="I23" s="70">
        <v>355759650</v>
      </c>
      <c r="J23" s="70">
        <f t="shared" si="2"/>
        <v>1445455.4953271027</v>
      </c>
      <c r="K23" s="70">
        <v>214</v>
      </c>
      <c r="L23" s="71">
        <v>309327476</v>
      </c>
      <c r="M23" s="172"/>
      <c r="N23" s="122"/>
      <c r="O23" s="69" t="s">
        <v>88</v>
      </c>
      <c r="P23" s="70">
        <f t="shared" si="7"/>
        <v>16797.834229041724</v>
      </c>
      <c r="Q23" s="70">
        <v>3209.75</v>
      </c>
      <c r="R23" s="70">
        <f t="shared" si="20"/>
        <v>647002181</v>
      </c>
      <c r="S23" s="70">
        <f t="shared" si="9"/>
        <v>17722.140809775639</v>
      </c>
      <c r="T23" s="70">
        <v>1193.17</v>
      </c>
      <c r="U23" s="70">
        <v>253746321</v>
      </c>
      <c r="V23" s="72">
        <f t="shared" si="10"/>
        <v>16250.940536287511</v>
      </c>
      <c r="W23" s="70">
        <v>2016.58</v>
      </c>
      <c r="X23" s="71">
        <v>393255860</v>
      </c>
      <c r="Y23" s="172"/>
      <c r="Z23" s="122"/>
      <c r="AA23" s="69" t="s">
        <v>88</v>
      </c>
      <c r="AB23" s="70">
        <f t="shared" si="11"/>
        <v>101750.3125</v>
      </c>
      <c r="AC23" s="70">
        <f t="shared" si="18"/>
        <v>32</v>
      </c>
      <c r="AD23" s="70">
        <f t="shared" si="18"/>
        <v>3256010</v>
      </c>
      <c r="AE23" s="70">
        <f t="shared" si="12"/>
        <v>110630.42105263157</v>
      </c>
      <c r="AF23" s="70">
        <v>19</v>
      </c>
      <c r="AG23" s="70">
        <v>2101978</v>
      </c>
      <c r="AH23" s="70">
        <f t="shared" si="13"/>
        <v>88771.692307692312</v>
      </c>
      <c r="AI23" s="70">
        <v>13</v>
      </c>
      <c r="AJ23" s="71">
        <v>1154032</v>
      </c>
      <c r="AK23" s="172"/>
      <c r="AL23" s="122"/>
      <c r="AM23" s="69" t="s">
        <v>88</v>
      </c>
      <c r="AN23" s="70">
        <f t="shared" si="14"/>
        <v>1218010.6000000001</v>
      </c>
      <c r="AO23" s="70">
        <f t="shared" si="19"/>
        <v>5</v>
      </c>
      <c r="AP23" s="70">
        <f t="shared" si="19"/>
        <v>6090053</v>
      </c>
      <c r="AQ23" s="70">
        <f t="shared" si="15"/>
        <v>1276053.6666666667</v>
      </c>
      <c r="AR23" s="70">
        <v>3</v>
      </c>
      <c r="AS23" s="70">
        <v>3828161</v>
      </c>
      <c r="AT23" s="70">
        <f t="shared" si="16"/>
        <v>1130946</v>
      </c>
      <c r="AU23" s="70">
        <v>2</v>
      </c>
      <c r="AV23" s="71">
        <v>2261892</v>
      </c>
    </row>
    <row r="24" spans="1:48" ht="24" customHeight="1">
      <c r="A24" s="172"/>
      <c r="B24" s="122"/>
      <c r="C24" s="69" t="s">
        <v>89</v>
      </c>
      <c r="D24" s="70">
        <f t="shared" si="0"/>
        <v>1502476.7682973077</v>
      </c>
      <c r="E24" s="70">
        <f t="shared" si="17"/>
        <v>2637</v>
      </c>
      <c r="F24" s="70">
        <f t="shared" si="17"/>
        <v>3962031238</v>
      </c>
      <c r="G24" s="70">
        <f t="shared" si="6"/>
        <v>1447045.8360927152</v>
      </c>
      <c r="H24" s="70">
        <v>1208</v>
      </c>
      <c r="I24" s="70">
        <v>1748031370</v>
      </c>
      <c r="J24" s="70">
        <f t="shared" si="2"/>
        <v>1549335.1070678795</v>
      </c>
      <c r="K24" s="70">
        <v>1429</v>
      </c>
      <c r="L24" s="71">
        <v>2213999868</v>
      </c>
      <c r="M24" s="172"/>
      <c r="N24" s="122"/>
      <c r="O24" s="69" t="s">
        <v>89</v>
      </c>
      <c r="P24" s="70">
        <f t="shared" si="7"/>
        <v>18693.313592602215</v>
      </c>
      <c r="Q24" s="70">
        <v>22132.75</v>
      </c>
      <c r="R24" s="70">
        <f t="shared" si="20"/>
        <v>4964813237</v>
      </c>
      <c r="S24" s="70">
        <f t="shared" si="9"/>
        <v>19571.172015901175</v>
      </c>
      <c r="T24" s="70">
        <v>8337.33</v>
      </c>
      <c r="U24" s="70">
        <v>1958055835</v>
      </c>
      <c r="V24" s="72">
        <f t="shared" si="10"/>
        <v>18162.775532266023</v>
      </c>
      <c r="W24" s="70">
        <v>13795.42</v>
      </c>
      <c r="X24" s="71">
        <v>3006757402</v>
      </c>
      <c r="Y24" s="172"/>
      <c r="Z24" s="122"/>
      <c r="AA24" s="69" t="s">
        <v>89</v>
      </c>
      <c r="AB24" s="70">
        <f t="shared" si="11"/>
        <v>113314.6719367589</v>
      </c>
      <c r="AC24" s="70">
        <f t="shared" si="18"/>
        <v>253</v>
      </c>
      <c r="AD24" s="70">
        <f t="shared" si="18"/>
        <v>28668612</v>
      </c>
      <c r="AE24" s="70">
        <f t="shared" si="12"/>
        <v>134217.51304347825</v>
      </c>
      <c r="AF24" s="70">
        <v>115</v>
      </c>
      <c r="AG24" s="70">
        <v>15435014</v>
      </c>
      <c r="AH24" s="70">
        <f t="shared" si="13"/>
        <v>95895.637681159424</v>
      </c>
      <c r="AI24" s="70">
        <v>138</v>
      </c>
      <c r="AJ24" s="71">
        <v>13233598</v>
      </c>
      <c r="AK24" s="172"/>
      <c r="AL24" s="122"/>
      <c r="AM24" s="69" t="s">
        <v>89</v>
      </c>
      <c r="AN24" s="70">
        <f t="shared" si="14"/>
        <v>951365.53636363638</v>
      </c>
      <c r="AO24" s="70">
        <f t="shared" si="19"/>
        <v>110</v>
      </c>
      <c r="AP24" s="70">
        <f t="shared" si="19"/>
        <v>104650209</v>
      </c>
      <c r="AQ24" s="70">
        <f t="shared" si="15"/>
        <v>988657.78947368416</v>
      </c>
      <c r="AR24" s="70">
        <v>57</v>
      </c>
      <c r="AS24" s="70">
        <v>56353494</v>
      </c>
      <c r="AT24" s="70">
        <f t="shared" si="16"/>
        <v>911258.77358490566</v>
      </c>
      <c r="AU24" s="70">
        <v>53</v>
      </c>
      <c r="AV24" s="71">
        <v>48296715</v>
      </c>
    </row>
    <row r="25" spans="1:48" ht="24" customHeight="1">
      <c r="A25" s="172"/>
      <c r="B25" s="122"/>
      <c r="C25" s="69" t="s">
        <v>90</v>
      </c>
      <c r="D25" s="70">
        <f t="shared" si="0"/>
        <v>1441035.3516858728</v>
      </c>
      <c r="E25" s="70">
        <f t="shared" si="17"/>
        <v>2343</v>
      </c>
      <c r="F25" s="70">
        <f t="shared" si="17"/>
        <v>3376345829</v>
      </c>
      <c r="G25" s="70">
        <f t="shared" si="6"/>
        <v>1440263.6889692587</v>
      </c>
      <c r="H25" s="70">
        <v>1106</v>
      </c>
      <c r="I25" s="70">
        <v>1592931640</v>
      </c>
      <c r="J25" s="70">
        <f t="shared" si="2"/>
        <v>1441725.2942603072</v>
      </c>
      <c r="K25" s="70">
        <v>1237</v>
      </c>
      <c r="L25" s="71">
        <v>1783414189</v>
      </c>
      <c r="M25" s="172"/>
      <c r="N25" s="122"/>
      <c r="O25" s="69" t="s">
        <v>90</v>
      </c>
      <c r="P25" s="70">
        <f t="shared" si="7"/>
        <v>17277.027160390866</v>
      </c>
      <c r="Q25" s="70">
        <v>17985.75</v>
      </c>
      <c r="R25" s="70">
        <f t="shared" si="20"/>
        <v>3728883495</v>
      </c>
      <c r="S25" s="70">
        <f t="shared" si="9"/>
        <v>18109.110301674627</v>
      </c>
      <c r="T25" s="70">
        <v>8270.5</v>
      </c>
      <c r="U25" s="70">
        <v>1797256761</v>
      </c>
      <c r="V25" s="72">
        <f t="shared" si="10"/>
        <v>16568.682689585959</v>
      </c>
      <c r="W25" s="70">
        <v>9715.25</v>
      </c>
      <c r="X25" s="71">
        <v>1931626734</v>
      </c>
      <c r="Y25" s="172"/>
      <c r="Z25" s="122"/>
      <c r="AA25" s="69" t="s">
        <v>90</v>
      </c>
      <c r="AB25" s="70">
        <f t="shared" si="11"/>
        <v>132292.23011363635</v>
      </c>
      <c r="AC25" s="70">
        <f t="shared" si="18"/>
        <v>352</v>
      </c>
      <c r="AD25" s="70">
        <f t="shared" si="18"/>
        <v>46566865</v>
      </c>
      <c r="AE25" s="70">
        <f t="shared" si="12"/>
        <v>154640.9705882353</v>
      </c>
      <c r="AF25" s="70">
        <v>170</v>
      </c>
      <c r="AG25" s="70">
        <v>26288965</v>
      </c>
      <c r="AH25" s="70">
        <f t="shared" si="13"/>
        <v>111417.03296703297</v>
      </c>
      <c r="AI25" s="70">
        <v>182</v>
      </c>
      <c r="AJ25" s="71">
        <v>20277900</v>
      </c>
      <c r="AK25" s="172"/>
      <c r="AL25" s="122"/>
      <c r="AM25" s="69" t="s">
        <v>90</v>
      </c>
      <c r="AN25" s="70">
        <f t="shared" si="14"/>
        <v>974861.51282051287</v>
      </c>
      <c r="AO25" s="70">
        <f t="shared" si="19"/>
        <v>78</v>
      </c>
      <c r="AP25" s="70">
        <f t="shared" si="19"/>
        <v>76039198</v>
      </c>
      <c r="AQ25" s="70">
        <f t="shared" si="15"/>
        <v>1093321.8958333333</v>
      </c>
      <c r="AR25" s="70">
        <v>48</v>
      </c>
      <c r="AS25" s="70">
        <v>52479451</v>
      </c>
      <c r="AT25" s="70">
        <f t="shared" si="16"/>
        <v>785324.9</v>
      </c>
      <c r="AU25" s="70">
        <v>30</v>
      </c>
      <c r="AV25" s="71">
        <v>23559747</v>
      </c>
    </row>
    <row r="26" spans="1:48" ht="24" customHeight="1">
      <c r="A26" s="172"/>
      <c r="B26" s="122"/>
      <c r="C26" s="69" t="s">
        <v>91</v>
      </c>
      <c r="D26" s="70">
        <f t="shared" si="0"/>
        <v>1414930.8724018475</v>
      </c>
      <c r="E26" s="70">
        <f t="shared" si="17"/>
        <v>1732</v>
      </c>
      <c r="F26" s="70">
        <f t="shared" si="17"/>
        <v>2450660271</v>
      </c>
      <c r="G26" s="70">
        <f t="shared" si="6"/>
        <v>1413107.3492647058</v>
      </c>
      <c r="H26" s="70">
        <v>816</v>
      </c>
      <c r="I26" s="70">
        <v>1153095597</v>
      </c>
      <c r="J26" s="70">
        <f t="shared" si="2"/>
        <v>1416555.3209606986</v>
      </c>
      <c r="K26" s="70">
        <v>916</v>
      </c>
      <c r="L26" s="71">
        <v>1297564674</v>
      </c>
      <c r="M26" s="172"/>
      <c r="N26" s="122"/>
      <c r="O26" s="69" t="s">
        <v>91</v>
      </c>
      <c r="P26" s="70">
        <f t="shared" si="7"/>
        <v>16838.533042166422</v>
      </c>
      <c r="Q26" s="70">
        <v>18946.75</v>
      </c>
      <c r="R26" s="70">
        <f t="shared" si="20"/>
        <v>3828425711</v>
      </c>
      <c r="S26" s="70">
        <f t="shared" si="9"/>
        <v>17579.791461866142</v>
      </c>
      <c r="T26" s="70">
        <v>8138</v>
      </c>
      <c r="U26" s="70">
        <v>1716772115</v>
      </c>
      <c r="V26" s="72">
        <f t="shared" si="10"/>
        <v>16280.433260090205</v>
      </c>
      <c r="W26" s="70">
        <v>10808.75</v>
      </c>
      <c r="X26" s="71">
        <v>2111653596</v>
      </c>
      <c r="Y26" s="172"/>
      <c r="Z26" s="122"/>
      <c r="AA26" s="69" t="s">
        <v>91</v>
      </c>
      <c r="AB26" s="70">
        <f t="shared" si="11"/>
        <v>95328.866242038217</v>
      </c>
      <c r="AC26" s="70">
        <f t="shared" si="18"/>
        <v>314</v>
      </c>
      <c r="AD26" s="70">
        <f t="shared" si="18"/>
        <v>29933264</v>
      </c>
      <c r="AE26" s="70">
        <f t="shared" si="12"/>
        <v>119652.48630136986</v>
      </c>
      <c r="AF26" s="70">
        <v>146</v>
      </c>
      <c r="AG26" s="70">
        <v>17469263</v>
      </c>
      <c r="AH26" s="70">
        <f t="shared" si="13"/>
        <v>74190.482142857145</v>
      </c>
      <c r="AI26" s="70">
        <v>168</v>
      </c>
      <c r="AJ26" s="71">
        <v>12464001</v>
      </c>
      <c r="AK26" s="172"/>
      <c r="AL26" s="122"/>
      <c r="AM26" s="69" t="s">
        <v>91</v>
      </c>
      <c r="AN26" s="70">
        <f t="shared" si="14"/>
        <v>913230.04807692312</v>
      </c>
      <c r="AO26" s="70">
        <f t="shared" si="19"/>
        <v>104</v>
      </c>
      <c r="AP26" s="70">
        <f t="shared" si="19"/>
        <v>94975925</v>
      </c>
      <c r="AQ26" s="70">
        <f t="shared" si="15"/>
        <v>882894.75</v>
      </c>
      <c r="AR26" s="70">
        <v>56</v>
      </c>
      <c r="AS26" s="70">
        <v>49442106</v>
      </c>
      <c r="AT26" s="70">
        <f t="shared" si="16"/>
        <v>948621.22916666663</v>
      </c>
      <c r="AU26" s="70">
        <v>48</v>
      </c>
      <c r="AV26" s="71">
        <v>45533819</v>
      </c>
    </row>
    <row r="27" spans="1:48" ht="24" customHeight="1">
      <c r="A27" s="172"/>
      <c r="B27" s="122"/>
      <c r="C27" s="69" t="s">
        <v>92</v>
      </c>
      <c r="D27" s="70">
        <f t="shared" si="0"/>
        <v>1411046.7419354839</v>
      </c>
      <c r="E27" s="70">
        <f t="shared" si="17"/>
        <v>155</v>
      </c>
      <c r="F27" s="70">
        <f t="shared" si="17"/>
        <v>218712245</v>
      </c>
      <c r="G27" s="70">
        <f t="shared" si="6"/>
        <v>1422438.0303030303</v>
      </c>
      <c r="H27" s="70">
        <v>99</v>
      </c>
      <c r="I27" s="70">
        <v>140821365</v>
      </c>
      <c r="J27" s="70">
        <f t="shared" si="2"/>
        <v>1390908.5714285714</v>
      </c>
      <c r="K27" s="70">
        <v>56</v>
      </c>
      <c r="L27" s="71">
        <v>77890880</v>
      </c>
      <c r="M27" s="172"/>
      <c r="N27" s="122"/>
      <c r="O27" s="69" t="s">
        <v>92</v>
      </c>
      <c r="P27" s="70">
        <f t="shared" si="7"/>
        <v>18362.057945454966</v>
      </c>
      <c r="Q27" s="70">
        <v>1735.08</v>
      </c>
      <c r="R27" s="70">
        <f t="shared" si="20"/>
        <v>382315674</v>
      </c>
      <c r="S27" s="70">
        <f t="shared" si="9"/>
        <v>21448.951747618332</v>
      </c>
      <c r="T27" s="70">
        <v>732.33</v>
      </c>
      <c r="U27" s="70">
        <v>188492530</v>
      </c>
      <c r="V27" s="72">
        <f t="shared" si="10"/>
        <v>16107.632676805451</v>
      </c>
      <c r="W27" s="70">
        <v>1002.75</v>
      </c>
      <c r="X27" s="71">
        <v>193823144</v>
      </c>
      <c r="Y27" s="172"/>
      <c r="Z27" s="122"/>
      <c r="AA27" s="69" t="s">
        <v>92</v>
      </c>
      <c r="AB27" s="70">
        <f t="shared" si="11"/>
        <v>139355.57142857142</v>
      </c>
      <c r="AC27" s="70">
        <f t="shared" si="18"/>
        <v>21</v>
      </c>
      <c r="AD27" s="70">
        <f t="shared" si="18"/>
        <v>2926467</v>
      </c>
      <c r="AE27" s="70">
        <f t="shared" si="12"/>
        <v>168522.71428571429</v>
      </c>
      <c r="AF27" s="70">
        <v>14</v>
      </c>
      <c r="AG27" s="70">
        <v>2359318</v>
      </c>
      <c r="AH27" s="70">
        <f t="shared" si="13"/>
        <v>81021.28571428571</v>
      </c>
      <c r="AI27" s="70">
        <v>7</v>
      </c>
      <c r="AJ27" s="71">
        <v>567149</v>
      </c>
      <c r="AK27" s="172"/>
      <c r="AL27" s="122"/>
      <c r="AM27" s="69" t="s">
        <v>92</v>
      </c>
      <c r="AN27" s="70">
        <f t="shared" si="14"/>
        <v>723364.625</v>
      </c>
      <c r="AO27" s="70">
        <f t="shared" si="19"/>
        <v>8</v>
      </c>
      <c r="AP27" s="70">
        <f t="shared" si="19"/>
        <v>5786917</v>
      </c>
      <c r="AQ27" s="70">
        <f t="shared" si="15"/>
        <v>798551</v>
      </c>
      <c r="AR27" s="70">
        <v>7</v>
      </c>
      <c r="AS27" s="70">
        <v>5589857</v>
      </c>
      <c r="AT27" s="70">
        <f t="shared" si="16"/>
        <v>197060</v>
      </c>
      <c r="AU27" s="70">
        <v>1</v>
      </c>
      <c r="AV27" s="71">
        <v>197060</v>
      </c>
    </row>
    <row r="28" spans="1:48" ht="24" customHeight="1">
      <c r="A28" s="173"/>
      <c r="B28" s="123"/>
      <c r="C28" s="69" t="s">
        <v>93</v>
      </c>
      <c r="D28" s="70">
        <f t="shared" si="0"/>
        <v>1023621.3529411765</v>
      </c>
      <c r="E28" s="70">
        <f t="shared" si="17"/>
        <v>17</v>
      </c>
      <c r="F28" s="70">
        <f t="shared" si="17"/>
        <v>17401563</v>
      </c>
      <c r="G28" s="70">
        <f t="shared" si="6"/>
        <v>1345368.4285714286</v>
      </c>
      <c r="H28" s="70">
        <v>7</v>
      </c>
      <c r="I28" s="70">
        <v>9417579</v>
      </c>
      <c r="J28" s="70">
        <f t="shared" si="2"/>
        <v>798398.4</v>
      </c>
      <c r="K28" s="70">
        <v>10</v>
      </c>
      <c r="L28" s="71">
        <v>7983984</v>
      </c>
      <c r="M28" s="173"/>
      <c r="N28" s="123"/>
      <c r="O28" s="69" t="s">
        <v>93</v>
      </c>
      <c r="P28" s="70">
        <f t="shared" si="7"/>
        <v>16592.586646908701</v>
      </c>
      <c r="Q28" s="70">
        <v>323.92</v>
      </c>
      <c r="R28" s="70">
        <f t="shared" si="20"/>
        <v>64496048</v>
      </c>
      <c r="S28" s="70">
        <f t="shared" si="9"/>
        <v>18112.867511044376</v>
      </c>
      <c r="T28" s="70">
        <v>153.16999999999999</v>
      </c>
      <c r="U28" s="70">
        <v>33292175</v>
      </c>
      <c r="V28" s="72">
        <f t="shared" si="10"/>
        <v>15228.830161054173</v>
      </c>
      <c r="W28" s="70">
        <v>170.75</v>
      </c>
      <c r="X28" s="71">
        <v>31203873</v>
      </c>
      <c r="Y28" s="173"/>
      <c r="Z28" s="123"/>
      <c r="AA28" s="69" t="s">
        <v>93</v>
      </c>
      <c r="AB28" s="70">
        <f t="shared" si="11"/>
        <v>110420.83333333333</v>
      </c>
      <c r="AC28" s="70">
        <f t="shared" si="18"/>
        <v>6</v>
      </c>
      <c r="AD28" s="70">
        <f t="shared" si="18"/>
        <v>662525</v>
      </c>
      <c r="AE28" s="70">
        <f t="shared" si="12"/>
        <v>150787.33333333334</v>
      </c>
      <c r="AF28" s="70">
        <v>3</v>
      </c>
      <c r="AG28" s="70">
        <v>452362</v>
      </c>
      <c r="AH28" s="70">
        <f t="shared" si="13"/>
        <v>70054.333333333328</v>
      </c>
      <c r="AI28" s="70">
        <v>3</v>
      </c>
      <c r="AJ28" s="71">
        <v>210163</v>
      </c>
      <c r="AK28" s="173"/>
      <c r="AL28" s="123"/>
      <c r="AM28" s="69" t="s">
        <v>93</v>
      </c>
      <c r="AN28" s="70">
        <f t="shared" si="14"/>
        <v>717063.66666666663</v>
      </c>
      <c r="AO28" s="70">
        <f t="shared" si="19"/>
        <v>3</v>
      </c>
      <c r="AP28" s="70">
        <f t="shared" si="19"/>
        <v>2151191</v>
      </c>
      <c r="AQ28" s="70">
        <v>0</v>
      </c>
      <c r="AR28" s="70">
        <v>0</v>
      </c>
      <c r="AS28" s="70">
        <v>0</v>
      </c>
      <c r="AT28" s="70">
        <f t="shared" si="16"/>
        <v>717063.66666666663</v>
      </c>
      <c r="AU28" s="70">
        <v>3</v>
      </c>
      <c r="AV28" s="71">
        <v>2151191</v>
      </c>
    </row>
    <row r="29" spans="1:48" ht="28.9" customHeight="1">
      <c r="A29" s="166" t="s">
        <v>145</v>
      </c>
      <c r="B29" s="128" t="s">
        <v>63</v>
      </c>
      <c r="C29" s="63" t="s">
        <v>76</v>
      </c>
      <c r="D29" s="64">
        <f t="shared" si="0"/>
        <v>1352520.205698462</v>
      </c>
      <c r="E29" s="64">
        <f>SUM(E30:E38)</f>
        <v>103642</v>
      </c>
      <c r="F29" s="64">
        <f>SUM(F30:F38)</f>
        <v>140177899159</v>
      </c>
      <c r="G29" s="64">
        <f t="shared" si="6"/>
        <v>1361361.8199289534</v>
      </c>
      <c r="H29" s="64">
        <f>SUM(H30:H38)</f>
        <v>50108</v>
      </c>
      <c r="I29" s="64">
        <f>SUM(I30:I38)</f>
        <v>68215118073</v>
      </c>
      <c r="J29" s="64">
        <f t="shared" si="2"/>
        <v>1344244.4257107633</v>
      </c>
      <c r="K29" s="64">
        <f>SUM(K30:K38)</f>
        <v>53534</v>
      </c>
      <c r="L29" s="65">
        <f>SUM(L30:L38)</f>
        <v>71962781086</v>
      </c>
      <c r="M29" s="166" t="s">
        <v>146</v>
      </c>
      <c r="N29" s="128" t="s">
        <v>63</v>
      </c>
      <c r="O29" s="63" t="s">
        <v>76</v>
      </c>
      <c r="P29" s="64">
        <f>R29/Q29/12</f>
        <v>16784.040678617162</v>
      </c>
      <c r="Q29" s="64">
        <v>978711.08</v>
      </c>
      <c r="R29" s="64">
        <f>SUM(R30:R38)</f>
        <v>197120718952</v>
      </c>
      <c r="S29" s="64">
        <f>U29/T29/12</f>
        <v>17902.124418077095</v>
      </c>
      <c r="T29" s="64">
        <v>445583.08</v>
      </c>
      <c r="U29" s="64">
        <f>SUM(U30:U38)</f>
        <v>95722604841</v>
      </c>
      <c r="V29" s="64">
        <f>X29/W29/12</f>
        <v>15849.557409446386</v>
      </c>
      <c r="W29" s="64">
        <v>533128</v>
      </c>
      <c r="X29" s="65">
        <f>SUM(X30:X38)</f>
        <v>101398114111</v>
      </c>
      <c r="Y29" s="166" t="s">
        <v>150</v>
      </c>
      <c r="Z29" s="128" t="s">
        <v>63</v>
      </c>
      <c r="AA29" s="63" t="s">
        <v>76</v>
      </c>
      <c r="AB29" s="64">
        <f t="shared" si="11"/>
        <v>115444.73983589592</v>
      </c>
      <c r="AC29" s="64">
        <f>SUM(AC30:AC38)</f>
        <v>27056</v>
      </c>
      <c r="AD29" s="64">
        <f>SUM(AD30:AD38)</f>
        <v>3123472881</v>
      </c>
      <c r="AE29" s="64">
        <f t="shared" si="12"/>
        <v>138196.28401695171</v>
      </c>
      <c r="AF29" s="64">
        <f>SUM(AF30:AF38)</f>
        <v>13214</v>
      </c>
      <c r="AG29" s="64">
        <f>SUM(AG30:AG38)</f>
        <v>1826125697</v>
      </c>
      <c r="AH29" s="64">
        <f t="shared" si="13"/>
        <v>93725.414246496177</v>
      </c>
      <c r="AI29" s="64">
        <f>SUM(AI30:AI38)</f>
        <v>13842</v>
      </c>
      <c r="AJ29" s="65">
        <f>SUM(AJ30:AJ38)</f>
        <v>1297347184</v>
      </c>
      <c r="AK29" s="166" t="s">
        <v>152</v>
      </c>
      <c r="AL29" s="128" t="s">
        <v>63</v>
      </c>
      <c r="AM29" s="63" t="s">
        <v>76</v>
      </c>
      <c r="AN29" s="64">
        <f t="shared" si="14"/>
        <v>831692.0469767442</v>
      </c>
      <c r="AO29" s="64">
        <f>SUM(AO30:AO38)</f>
        <v>4300</v>
      </c>
      <c r="AP29" s="64">
        <f>SUM(AP30:AP38)</f>
        <v>3576275802</v>
      </c>
      <c r="AQ29" s="64">
        <f t="shared" si="15"/>
        <v>866164.54137664346</v>
      </c>
      <c r="AR29" s="64">
        <f>SUM(AR30:AR38)</f>
        <v>2586</v>
      </c>
      <c r="AS29" s="64">
        <f>SUM(AS30:AS38)</f>
        <v>2239901504</v>
      </c>
      <c r="AT29" s="64">
        <f t="shared" si="16"/>
        <v>779681.62077012833</v>
      </c>
      <c r="AU29" s="64">
        <f>SUM(AU30:AU38)</f>
        <v>1714</v>
      </c>
      <c r="AV29" s="65">
        <f>SUM(AV30:AV38)</f>
        <v>1336374298</v>
      </c>
    </row>
    <row r="30" spans="1:48" ht="28.9" customHeight="1">
      <c r="A30" s="167"/>
      <c r="B30" s="129"/>
      <c r="C30" s="76" t="s">
        <v>137</v>
      </c>
      <c r="D30" s="70">
        <v>0</v>
      </c>
      <c r="E30" s="70">
        <f t="shared" ref="E30:F38" si="21">H30+K30</f>
        <v>0</v>
      </c>
      <c r="F30" s="70">
        <f t="shared" si="21"/>
        <v>0</v>
      </c>
      <c r="G30" s="70">
        <v>0</v>
      </c>
      <c r="H30" s="70">
        <v>0</v>
      </c>
      <c r="I30" s="70">
        <v>0</v>
      </c>
      <c r="J30" s="70">
        <v>0</v>
      </c>
      <c r="K30" s="70">
        <v>0</v>
      </c>
      <c r="L30" s="71">
        <v>0</v>
      </c>
      <c r="M30" s="167"/>
      <c r="N30" s="129"/>
      <c r="O30" s="76" t="s">
        <v>137</v>
      </c>
      <c r="P30" s="70">
        <v>0</v>
      </c>
      <c r="Q30" s="70">
        <v>0</v>
      </c>
      <c r="R30" s="70">
        <f t="shared" ref="R30:R38" si="22">U30+X30</f>
        <v>0</v>
      </c>
      <c r="S30" s="70">
        <v>0</v>
      </c>
      <c r="T30" s="70">
        <v>0</v>
      </c>
      <c r="U30" s="70">
        <v>0</v>
      </c>
      <c r="V30" s="70">
        <v>0</v>
      </c>
      <c r="W30" s="70">
        <v>0</v>
      </c>
      <c r="X30" s="71">
        <v>0</v>
      </c>
      <c r="Y30" s="167"/>
      <c r="Z30" s="129"/>
      <c r="AA30" s="76" t="s">
        <v>137</v>
      </c>
      <c r="AB30" s="70">
        <v>0</v>
      </c>
      <c r="AC30" s="70">
        <f t="shared" ref="AC30:AD38" si="23">AF30+AI30</f>
        <v>0</v>
      </c>
      <c r="AD30" s="70">
        <f t="shared" si="23"/>
        <v>0</v>
      </c>
      <c r="AE30" s="70">
        <v>0</v>
      </c>
      <c r="AF30" s="70">
        <v>0</v>
      </c>
      <c r="AG30" s="70">
        <v>0</v>
      </c>
      <c r="AH30" s="70">
        <v>0</v>
      </c>
      <c r="AI30" s="70">
        <v>0</v>
      </c>
      <c r="AJ30" s="71">
        <v>0</v>
      </c>
      <c r="AK30" s="167"/>
      <c r="AL30" s="129"/>
      <c r="AM30" s="76" t="s">
        <v>137</v>
      </c>
      <c r="AN30" s="70">
        <v>0</v>
      </c>
      <c r="AO30" s="70">
        <f t="shared" ref="AO30:AP38" si="24">AR30+AU30</f>
        <v>0</v>
      </c>
      <c r="AP30" s="70">
        <f t="shared" si="24"/>
        <v>0</v>
      </c>
      <c r="AQ30" s="70">
        <v>0</v>
      </c>
      <c r="AR30" s="70">
        <v>0</v>
      </c>
      <c r="AS30" s="70">
        <v>0</v>
      </c>
      <c r="AT30" s="70">
        <v>0</v>
      </c>
      <c r="AU30" s="70">
        <v>0</v>
      </c>
      <c r="AV30" s="71">
        <v>0</v>
      </c>
    </row>
    <row r="31" spans="1:48" ht="28.9" customHeight="1">
      <c r="A31" s="167"/>
      <c r="B31" s="129"/>
      <c r="C31" s="69" t="s">
        <v>112</v>
      </c>
      <c r="D31" s="70">
        <f t="shared" si="0"/>
        <v>1205685.5</v>
      </c>
      <c r="E31" s="70">
        <f t="shared" si="21"/>
        <v>2</v>
      </c>
      <c r="F31" s="70">
        <f t="shared" si="21"/>
        <v>2411371</v>
      </c>
      <c r="G31" s="70">
        <f t="shared" ref="G31" si="25">I31/H31</f>
        <v>1571371</v>
      </c>
      <c r="H31" s="70">
        <v>1</v>
      </c>
      <c r="I31" s="70">
        <v>1571371</v>
      </c>
      <c r="J31" s="70">
        <f t="shared" si="2"/>
        <v>840000</v>
      </c>
      <c r="K31" s="70">
        <v>1</v>
      </c>
      <c r="L31" s="71">
        <v>840000</v>
      </c>
      <c r="M31" s="167"/>
      <c r="N31" s="129"/>
      <c r="O31" s="69" t="s">
        <v>112</v>
      </c>
      <c r="P31" s="70">
        <v>0</v>
      </c>
      <c r="Q31" s="70">
        <v>0</v>
      </c>
      <c r="R31" s="70">
        <f t="shared" si="22"/>
        <v>0</v>
      </c>
      <c r="S31" s="70">
        <v>0</v>
      </c>
      <c r="T31" s="70">
        <v>0</v>
      </c>
      <c r="U31" s="70">
        <v>0</v>
      </c>
      <c r="V31" s="70">
        <v>0</v>
      </c>
      <c r="W31" s="70">
        <v>0</v>
      </c>
      <c r="X31" s="71">
        <v>0</v>
      </c>
      <c r="Y31" s="167"/>
      <c r="Z31" s="129"/>
      <c r="AA31" s="69" t="s">
        <v>112</v>
      </c>
      <c r="AB31" s="70">
        <v>0</v>
      </c>
      <c r="AC31" s="70">
        <f t="shared" si="23"/>
        <v>0</v>
      </c>
      <c r="AD31" s="70">
        <f t="shared" si="23"/>
        <v>0</v>
      </c>
      <c r="AE31" s="70">
        <v>0</v>
      </c>
      <c r="AF31" s="70">
        <v>0</v>
      </c>
      <c r="AG31" s="70">
        <v>0</v>
      </c>
      <c r="AH31" s="70">
        <v>0</v>
      </c>
      <c r="AI31" s="70">
        <v>0</v>
      </c>
      <c r="AJ31" s="71">
        <v>0</v>
      </c>
      <c r="AK31" s="167"/>
      <c r="AL31" s="129"/>
      <c r="AM31" s="69" t="s">
        <v>112</v>
      </c>
      <c r="AN31" s="70">
        <v>0</v>
      </c>
      <c r="AO31" s="70">
        <f t="shared" si="24"/>
        <v>0</v>
      </c>
      <c r="AP31" s="70">
        <f t="shared" si="24"/>
        <v>0</v>
      </c>
      <c r="AQ31" s="70">
        <v>0</v>
      </c>
      <c r="AR31" s="70">
        <v>0</v>
      </c>
      <c r="AS31" s="70">
        <v>0</v>
      </c>
      <c r="AT31" s="70">
        <v>0</v>
      </c>
      <c r="AU31" s="70">
        <v>0</v>
      </c>
      <c r="AV31" s="71">
        <v>0</v>
      </c>
    </row>
    <row r="32" spans="1:48" ht="28.9" customHeight="1">
      <c r="A32" s="167"/>
      <c r="B32" s="129"/>
      <c r="C32" s="69" t="s">
        <v>113</v>
      </c>
      <c r="D32" s="70">
        <f t="shared" si="0"/>
        <v>1294486.2681940701</v>
      </c>
      <c r="E32" s="70">
        <f t="shared" si="21"/>
        <v>742</v>
      </c>
      <c r="F32" s="70">
        <f t="shared" si="21"/>
        <v>960508811</v>
      </c>
      <c r="G32" s="70">
        <f t="shared" si="6"/>
        <v>1284075.4612068965</v>
      </c>
      <c r="H32" s="70">
        <v>232</v>
      </c>
      <c r="I32" s="70">
        <v>297905507</v>
      </c>
      <c r="J32" s="70">
        <f t="shared" si="2"/>
        <v>1299222.1647058823</v>
      </c>
      <c r="K32" s="70">
        <v>510</v>
      </c>
      <c r="L32" s="71">
        <v>662603304</v>
      </c>
      <c r="M32" s="167"/>
      <c r="N32" s="129"/>
      <c r="O32" s="69" t="s">
        <v>113</v>
      </c>
      <c r="P32" s="70">
        <v>0</v>
      </c>
      <c r="Q32" s="70">
        <v>0</v>
      </c>
      <c r="R32" s="70">
        <f t="shared" si="22"/>
        <v>0</v>
      </c>
      <c r="S32" s="70">
        <v>0</v>
      </c>
      <c r="T32" s="70">
        <v>0</v>
      </c>
      <c r="U32" s="70">
        <v>0</v>
      </c>
      <c r="V32" s="70">
        <v>0</v>
      </c>
      <c r="W32" s="70">
        <v>0</v>
      </c>
      <c r="X32" s="71">
        <v>0</v>
      </c>
      <c r="Y32" s="167"/>
      <c r="Z32" s="129"/>
      <c r="AA32" s="69" t="s">
        <v>113</v>
      </c>
      <c r="AB32" s="70">
        <v>0</v>
      </c>
      <c r="AC32" s="70">
        <f t="shared" si="23"/>
        <v>0</v>
      </c>
      <c r="AD32" s="70">
        <f t="shared" si="23"/>
        <v>0</v>
      </c>
      <c r="AE32" s="70">
        <v>0</v>
      </c>
      <c r="AF32" s="70">
        <v>0</v>
      </c>
      <c r="AG32" s="70">
        <v>0</v>
      </c>
      <c r="AH32" s="70">
        <v>0</v>
      </c>
      <c r="AI32" s="70">
        <v>0</v>
      </c>
      <c r="AJ32" s="71">
        <v>0</v>
      </c>
      <c r="AK32" s="167"/>
      <c r="AL32" s="129"/>
      <c r="AM32" s="69" t="s">
        <v>113</v>
      </c>
      <c r="AN32" s="70">
        <v>0</v>
      </c>
      <c r="AO32" s="70">
        <f t="shared" si="24"/>
        <v>0</v>
      </c>
      <c r="AP32" s="70">
        <f t="shared" si="24"/>
        <v>0</v>
      </c>
      <c r="AQ32" s="70">
        <v>0</v>
      </c>
      <c r="AR32" s="70">
        <v>0</v>
      </c>
      <c r="AS32" s="70">
        <v>0</v>
      </c>
      <c r="AT32" s="70">
        <v>0</v>
      </c>
      <c r="AU32" s="70">
        <v>0</v>
      </c>
      <c r="AV32" s="71">
        <v>0</v>
      </c>
    </row>
    <row r="33" spans="1:48" ht="28.9" customHeight="1">
      <c r="A33" s="167"/>
      <c r="B33" s="129"/>
      <c r="C33" s="69" t="s">
        <v>114</v>
      </c>
      <c r="D33" s="70">
        <f t="shared" si="0"/>
        <v>1580077.8750251154</v>
      </c>
      <c r="E33" s="70">
        <f t="shared" si="21"/>
        <v>4977</v>
      </c>
      <c r="F33" s="70">
        <f t="shared" si="21"/>
        <v>7864047584</v>
      </c>
      <c r="G33" s="70">
        <f t="shared" si="6"/>
        <v>1546973.1904506439</v>
      </c>
      <c r="H33" s="70">
        <v>1864</v>
      </c>
      <c r="I33" s="70">
        <v>2883558027</v>
      </c>
      <c r="J33" s="70">
        <f t="shared" si="2"/>
        <v>1599900.2752971409</v>
      </c>
      <c r="K33" s="70">
        <v>3113</v>
      </c>
      <c r="L33" s="71">
        <v>4980489557</v>
      </c>
      <c r="M33" s="167"/>
      <c r="N33" s="129"/>
      <c r="O33" s="69" t="s">
        <v>114</v>
      </c>
      <c r="P33" s="70">
        <v>0</v>
      </c>
      <c r="Q33" s="70">
        <v>0</v>
      </c>
      <c r="R33" s="70">
        <f t="shared" si="22"/>
        <v>0</v>
      </c>
      <c r="S33" s="70">
        <v>0</v>
      </c>
      <c r="T33" s="70">
        <v>0</v>
      </c>
      <c r="U33" s="70">
        <v>0</v>
      </c>
      <c r="V33" s="70">
        <v>0</v>
      </c>
      <c r="W33" s="70">
        <v>0</v>
      </c>
      <c r="X33" s="71">
        <v>0</v>
      </c>
      <c r="Y33" s="167"/>
      <c r="Z33" s="129"/>
      <c r="AA33" s="69" t="s">
        <v>114</v>
      </c>
      <c r="AB33" s="70">
        <v>0</v>
      </c>
      <c r="AC33" s="70">
        <f t="shared" si="23"/>
        <v>0</v>
      </c>
      <c r="AD33" s="70">
        <f t="shared" si="23"/>
        <v>0</v>
      </c>
      <c r="AE33" s="70">
        <v>0</v>
      </c>
      <c r="AF33" s="70">
        <v>0</v>
      </c>
      <c r="AG33" s="70">
        <v>0</v>
      </c>
      <c r="AH33" s="70">
        <v>0</v>
      </c>
      <c r="AI33" s="70">
        <v>0</v>
      </c>
      <c r="AJ33" s="71">
        <v>0</v>
      </c>
      <c r="AK33" s="167"/>
      <c r="AL33" s="129"/>
      <c r="AM33" s="69" t="s">
        <v>114</v>
      </c>
      <c r="AN33" s="70">
        <v>0</v>
      </c>
      <c r="AO33" s="70">
        <f t="shared" si="24"/>
        <v>0</v>
      </c>
      <c r="AP33" s="70">
        <f t="shared" si="24"/>
        <v>0</v>
      </c>
      <c r="AQ33" s="70">
        <v>0</v>
      </c>
      <c r="AR33" s="70">
        <v>0</v>
      </c>
      <c r="AS33" s="70">
        <v>0</v>
      </c>
      <c r="AT33" s="70">
        <v>0</v>
      </c>
      <c r="AU33" s="70">
        <v>0</v>
      </c>
      <c r="AV33" s="71">
        <v>0</v>
      </c>
    </row>
    <row r="34" spans="1:48" ht="28.9" customHeight="1">
      <c r="A34" s="167"/>
      <c r="B34" s="129"/>
      <c r="C34" s="69" t="s">
        <v>115</v>
      </c>
      <c r="D34" s="70">
        <f t="shared" si="0"/>
        <v>1541281.6196772603</v>
      </c>
      <c r="E34" s="70">
        <f t="shared" si="21"/>
        <v>46663</v>
      </c>
      <c r="F34" s="70">
        <f t="shared" si="21"/>
        <v>71920824219</v>
      </c>
      <c r="G34" s="70">
        <f t="shared" si="6"/>
        <v>1547489.1450112602</v>
      </c>
      <c r="H34" s="70">
        <v>20426</v>
      </c>
      <c r="I34" s="70">
        <v>31609013276</v>
      </c>
      <c r="J34" s="70">
        <f t="shared" si="2"/>
        <v>1536448.943972253</v>
      </c>
      <c r="K34" s="70">
        <v>26237</v>
      </c>
      <c r="L34" s="71">
        <v>40311810943</v>
      </c>
      <c r="M34" s="167"/>
      <c r="N34" s="129"/>
      <c r="O34" s="69" t="s">
        <v>115</v>
      </c>
      <c r="P34" s="70">
        <v>0</v>
      </c>
      <c r="Q34" s="70">
        <v>0</v>
      </c>
      <c r="R34" s="70">
        <f t="shared" si="22"/>
        <v>0</v>
      </c>
      <c r="S34" s="70">
        <v>0</v>
      </c>
      <c r="T34" s="70">
        <v>0</v>
      </c>
      <c r="U34" s="70">
        <v>0</v>
      </c>
      <c r="V34" s="70">
        <v>0</v>
      </c>
      <c r="W34" s="70">
        <v>0</v>
      </c>
      <c r="X34" s="71">
        <v>0</v>
      </c>
      <c r="Y34" s="167"/>
      <c r="Z34" s="129"/>
      <c r="AA34" s="69" t="s">
        <v>115</v>
      </c>
      <c r="AB34" s="70">
        <v>0</v>
      </c>
      <c r="AC34" s="70">
        <f t="shared" si="23"/>
        <v>0</v>
      </c>
      <c r="AD34" s="70">
        <f t="shared" si="23"/>
        <v>0</v>
      </c>
      <c r="AE34" s="70">
        <v>0</v>
      </c>
      <c r="AF34" s="70">
        <v>0</v>
      </c>
      <c r="AG34" s="70">
        <v>0</v>
      </c>
      <c r="AH34" s="70">
        <v>0</v>
      </c>
      <c r="AI34" s="70">
        <v>0</v>
      </c>
      <c r="AJ34" s="71">
        <v>0</v>
      </c>
      <c r="AK34" s="167"/>
      <c r="AL34" s="129"/>
      <c r="AM34" s="69" t="s">
        <v>115</v>
      </c>
      <c r="AN34" s="70">
        <v>0</v>
      </c>
      <c r="AO34" s="70">
        <f t="shared" si="24"/>
        <v>0</v>
      </c>
      <c r="AP34" s="70">
        <f t="shared" si="24"/>
        <v>0</v>
      </c>
      <c r="AQ34" s="70">
        <v>0</v>
      </c>
      <c r="AR34" s="70">
        <v>0</v>
      </c>
      <c r="AS34" s="70">
        <v>0</v>
      </c>
      <c r="AT34" s="70">
        <v>0</v>
      </c>
      <c r="AU34" s="70">
        <v>0</v>
      </c>
      <c r="AV34" s="71">
        <v>0</v>
      </c>
    </row>
    <row r="35" spans="1:48" ht="28.9" customHeight="1">
      <c r="A35" s="167"/>
      <c r="B35" s="129"/>
      <c r="C35" s="69" t="s">
        <v>116</v>
      </c>
      <c r="D35" s="70">
        <f t="shared" si="0"/>
        <v>1266577.0140638377</v>
      </c>
      <c r="E35" s="70">
        <f t="shared" si="21"/>
        <v>32708</v>
      </c>
      <c r="F35" s="70">
        <f t="shared" si="21"/>
        <v>41427200976</v>
      </c>
      <c r="G35" s="70">
        <f t="shared" si="6"/>
        <v>1355742.8476888253</v>
      </c>
      <c r="H35" s="70">
        <v>16788</v>
      </c>
      <c r="I35" s="70">
        <v>22760210927</v>
      </c>
      <c r="J35" s="70">
        <f t="shared" si="2"/>
        <v>1172549.6261934673</v>
      </c>
      <c r="K35" s="70">
        <v>15920</v>
      </c>
      <c r="L35" s="71">
        <v>18666990049</v>
      </c>
      <c r="M35" s="167"/>
      <c r="N35" s="129"/>
      <c r="O35" s="69" t="s">
        <v>116</v>
      </c>
      <c r="P35" s="70">
        <f t="shared" ref="P35:P38" si="26">R35/Q35/12</f>
        <v>15432.344640472673</v>
      </c>
      <c r="Q35" s="70">
        <v>105781.25</v>
      </c>
      <c r="R35" s="70">
        <f t="shared" si="22"/>
        <v>19589432478</v>
      </c>
      <c r="S35" s="70">
        <f t="shared" ref="S35:S38" si="27">U35/T35/12</f>
        <v>15769.96870040682</v>
      </c>
      <c r="T35" s="70">
        <v>44768.42</v>
      </c>
      <c r="U35" s="70">
        <v>8471958986</v>
      </c>
      <c r="V35" s="70">
        <f t="shared" ref="V35:V38" si="28">X35/W35/12</f>
        <v>15184.611569949031</v>
      </c>
      <c r="W35" s="70">
        <v>61012.83</v>
      </c>
      <c r="X35" s="71">
        <v>11117473492</v>
      </c>
      <c r="Y35" s="167"/>
      <c r="Z35" s="129"/>
      <c r="AA35" s="69" t="s">
        <v>116</v>
      </c>
      <c r="AB35" s="70">
        <v>0</v>
      </c>
      <c r="AC35" s="70">
        <f t="shared" si="23"/>
        <v>0</v>
      </c>
      <c r="AD35" s="70">
        <f t="shared" si="23"/>
        <v>0</v>
      </c>
      <c r="AE35" s="70">
        <v>0</v>
      </c>
      <c r="AF35" s="70">
        <v>0</v>
      </c>
      <c r="AG35" s="70">
        <v>0</v>
      </c>
      <c r="AH35" s="70">
        <v>0</v>
      </c>
      <c r="AI35" s="70">
        <v>0</v>
      </c>
      <c r="AJ35" s="71">
        <v>0</v>
      </c>
      <c r="AK35" s="167"/>
      <c r="AL35" s="129"/>
      <c r="AM35" s="69" t="s">
        <v>116</v>
      </c>
      <c r="AN35" s="70">
        <f t="shared" si="14"/>
        <v>1251443.6073446327</v>
      </c>
      <c r="AO35" s="70">
        <f t="shared" si="24"/>
        <v>354</v>
      </c>
      <c r="AP35" s="70">
        <f t="shared" si="24"/>
        <v>443011037</v>
      </c>
      <c r="AQ35" s="70">
        <f t="shared" si="15"/>
        <v>1285889.9611650486</v>
      </c>
      <c r="AR35" s="70">
        <v>206</v>
      </c>
      <c r="AS35" s="70">
        <v>264893332</v>
      </c>
      <c r="AT35" s="70">
        <f t="shared" si="16"/>
        <v>1203498.0067567567</v>
      </c>
      <c r="AU35" s="70">
        <v>148</v>
      </c>
      <c r="AV35" s="71">
        <v>178117705</v>
      </c>
    </row>
    <row r="36" spans="1:48" ht="28.9" customHeight="1">
      <c r="A36" s="167"/>
      <c r="B36" s="129"/>
      <c r="C36" s="69" t="s">
        <v>117</v>
      </c>
      <c r="D36" s="70">
        <f t="shared" si="0"/>
        <v>1026302.0002836075</v>
      </c>
      <c r="E36" s="70">
        <f t="shared" si="21"/>
        <v>14104</v>
      </c>
      <c r="F36" s="70">
        <f t="shared" si="21"/>
        <v>14474963412</v>
      </c>
      <c r="G36" s="70">
        <f t="shared" si="6"/>
        <v>1059380.1672871681</v>
      </c>
      <c r="H36" s="70">
        <v>8058</v>
      </c>
      <c r="I36" s="70">
        <v>8536485388</v>
      </c>
      <c r="J36" s="70">
        <f t="shared" si="2"/>
        <v>982216.01455507777</v>
      </c>
      <c r="K36" s="70">
        <v>6046</v>
      </c>
      <c r="L36" s="71">
        <v>5938478024</v>
      </c>
      <c r="M36" s="167"/>
      <c r="N36" s="129"/>
      <c r="O36" s="69" t="s">
        <v>117</v>
      </c>
      <c r="P36" s="70">
        <f t="shared" si="26"/>
        <v>16607.177500011825</v>
      </c>
      <c r="Q36" s="70">
        <v>425690.92</v>
      </c>
      <c r="R36" s="70">
        <f t="shared" si="22"/>
        <v>84834296023</v>
      </c>
      <c r="S36" s="70">
        <f t="shared" si="27"/>
        <v>17521.543996918717</v>
      </c>
      <c r="T36" s="70">
        <v>189470.92</v>
      </c>
      <c r="U36" s="70">
        <v>39837876731</v>
      </c>
      <c r="V36" s="70">
        <f t="shared" si="28"/>
        <v>15873.768553325996</v>
      </c>
      <c r="W36" s="70">
        <v>236220</v>
      </c>
      <c r="X36" s="71">
        <v>44996419292</v>
      </c>
      <c r="Y36" s="167"/>
      <c r="Z36" s="129"/>
      <c r="AA36" s="69" t="s">
        <v>117</v>
      </c>
      <c r="AB36" s="70">
        <f t="shared" si="11"/>
        <v>127400.45873972603</v>
      </c>
      <c r="AC36" s="70">
        <f t="shared" si="23"/>
        <v>18250</v>
      </c>
      <c r="AD36" s="70">
        <f t="shared" si="23"/>
        <v>2325058372</v>
      </c>
      <c r="AE36" s="70">
        <f t="shared" si="12"/>
        <v>155337.61454878189</v>
      </c>
      <c r="AF36" s="70">
        <v>8743</v>
      </c>
      <c r="AG36" s="70">
        <v>1358116764</v>
      </c>
      <c r="AH36" s="70">
        <f t="shared" si="13"/>
        <v>101708.38413800357</v>
      </c>
      <c r="AI36" s="70">
        <v>9507</v>
      </c>
      <c r="AJ36" s="71">
        <v>966941608</v>
      </c>
      <c r="AK36" s="167"/>
      <c r="AL36" s="129"/>
      <c r="AM36" s="69" t="s">
        <v>117</v>
      </c>
      <c r="AN36" s="70">
        <f t="shared" si="14"/>
        <v>986976.41685912246</v>
      </c>
      <c r="AO36" s="70">
        <f t="shared" si="24"/>
        <v>1732</v>
      </c>
      <c r="AP36" s="70">
        <f t="shared" si="24"/>
        <v>1709443154</v>
      </c>
      <c r="AQ36" s="70">
        <f t="shared" si="15"/>
        <v>1010058.8438095239</v>
      </c>
      <c r="AR36" s="70">
        <v>1050</v>
      </c>
      <c r="AS36" s="70">
        <v>1060561786</v>
      </c>
      <c r="AT36" s="70">
        <f t="shared" si="16"/>
        <v>951438.95601173025</v>
      </c>
      <c r="AU36" s="70">
        <v>682</v>
      </c>
      <c r="AV36" s="71">
        <v>648881368</v>
      </c>
    </row>
    <row r="37" spans="1:48" ht="28.9" customHeight="1">
      <c r="A37" s="168"/>
      <c r="B37" s="130"/>
      <c r="C37" s="69" t="s">
        <v>118</v>
      </c>
      <c r="D37" s="70">
        <f t="shared" si="0"/>
        <v>809862.73754789273</v>
      </c>
      <c r="E37" s="70">
        <f t="shared" si="21"/>
        <v>4176</v>
      </c>
      <c r="F37" s="70">
        <f t="shared" si="21"/>
        <v>3381986792</v>
      </c>
      <c r="G37" s="70">
        <f t="shared" si="6"/>
        <v>791174.44877288665</v>
      </c>
      <c r="H37" s="70">
        <v>2567</v>
      </c>
      <c r="I37" s="70">
        <v>2030944810</v>
      </c>
      <c r="J37" s="70">
        <f t="shared" si="2"/>
        <v>839678.04972032318</v>
      </c>
      <c r="K37" s="70">
        <v>1609</v>
      </c>
      <c r="L37" s="71">
        <v>1351041982</v>
      </c>
      <c r="M37" s="168"/>
      <c r="N37" s="130"/>
      <c r="O37" s="69" t="s">
        <v>118</v>
      </c>
      <c r="P37" s="70">
        <f t="shared" si="26"/>
        <v>17967.618559518829</v>
      </c>
      <c r="Q37" s="70">
        <v>345435.5</v>
      </c>
      <c r="R37" s="70">
        <f t="shared" si="22"/>
        <v>74479839611</v>
      </c>
      <c r="S37" s="70">
        <f t="shared" si="27"/>
        <v>19461.536593875524</v>
      </c>
      <c r="T37" s="70">
        <v>163830.82999999999</v>
      </c>
      <c r="U37" s="70">
        <v>38260796319</v>
      </c>
      <c r="V37" s="70">
        <f t="shared" si="28"/>
        <v>16619.911853955444</v>
      </c>
      <c r="W37" s="70">
        <v>181604.67</v>
      </c>
      <c r="X37" s="71">
        <v>36219043292</v>
      </c>
      <c r="Y37" s="168"/>
      <c r="Z37" s="130"/>
      <c r="AA37" s="69" t="s">
        <v>118</v>
      </c>
      <c r="AB37" s="70">
        <f t="shared" si="11"/>
        <v>82737.490513575394</v>
      </c>
      <c r="AC37" s="70">
        <f t="shared" si="23"/>
        <v>6114</v>
      </c>
      <c r="AD37" s="70">
        <f t="shared" si="23"/>
        <v>505857017</v>
      </c>
      <c r="AE37" s="70">
        <f t="shared" si="12"/>
        <v>97369.992202729045</v>
      </c>
      <c r="AF37" s="70">
        <v>3078</v>
      </c>
      <c r="AG37" s="70">
        <v>299704836</v>
      </c>
      <c r="AH37" s="70">
        <f t="shared" si="13"/>
        <v>67902.562911725952</v>
      </c>
      <c r="AI37" s="70">
        <v>3036</v>
      </c>
      <c r="AJ37" s="71">
        <v>206152181</v>
      </c>
      <c r="AK37" s="168"/>
      <c r="AL37" s="130"/>
      <c r="AM37" s="69" t="s">
        <v>118</v>
      </c>
      <c r="AN37" s="70">
        <f t="shared" si="14"/>
        <v>709462.0200527705</v>
      </c>
      <c r="AO37" s="70">
        <f t="shared" si="24"/>
        <v>1895</v>
      </c>
      <c r="AP37" s="70">
        <f t="shared" si="24"/>
        <v>1344430528</v>
      </c>
      <c r="AQ37" s="70">
        <f t="shared" si="15"/>
        <v>756828.35807860259</v>
      </c>
      <c r="AR37" s="70">
        <v>1145</v>
      </c>
      <c r="AS37" s="70">
        <v>866568470</v>
      </c>
      <c r="AT37" s="70">
        <f t="shared" si="16"/>
        <v>637149.41066666669</v>
      </c>
      <c r="AU37" s="70">
        <v>750</v>
      </c>
      <c r="AV37" s="71">
        <v>477862058</v>
      </c>
    </row>
    <row r="38" spans="1:48" ht="28.9" customHeight="1" thickBot="1">
      <c r="A38" s="169"/>
      <c r="B38" s="131"/>
      <c r="C38" s="73" t="s">
        <v>94</v>
      </c>
      <c r="D38" s="74">
        <f t="shared" si="0"/>
        <v>540577.75555555557</v>
      </c>
      <c r="E38" s="74">
        <f t="shared" si="21"/>
        <v>270</v>
      </c>
      <c r="F38" s="74">
        <f t="shared" si="21"/>
        <v>145955994</v>
      </c>
      <c r="G38" s="74">
        <f t="shared" si="6"/>
        <v>554818.41279069765</v>
      </c>
      <c r="H38" s="74">
        <v>172</v>
      </c>
      <c r="I38" s="74">
        <v>95428767</v>
      </c>
      <c r="J38" s="74">
        <f t="shared" si="2"/>
        <v>515583.94897959183</v>
      </c>
      <c r="K38" s="74">
        <v>98</v>
      </c>
      <c r="L38" s="75">
        <v>50527227</v>
      </c>
      <c r="M38" s="169"/>
      <c r="N38" s="131"/>
      <c r="O38" s="73" t="s">
        <v>94</v>
      </c>
      <c r="P38" s="74">
        <f t="shared" si="26"/>
        <v>14912.032457586722</v>
      </c>
      <c r="Q38" s="74">
        <v>101803.42</v>
      </c>
      <c r="R38" s="74">
        <f t="shared" si="22"/>
        <v>18217150840</v>
      </c>
      <c r="S38" s="74">
        <f t="shared" si="27"/>
        <v>16051.729949116285</v>
      </c>
      <c r="T38" s="74">
        <v>47512.91</v>
      </c>
      <c r="U38" s="74">
        <v>9151972805</v>
      </c>
      <c r="V38" s="74">
        <f t="shared" si="28"/>
        <v>13914.616791458297</v>
      </c>
      <c r="W38" s="74">
        <v>54290.5</v>
      </c>
      <c r="X38" s="75">
        <v>9065178035</v>
      </c>
      <c r="Y38" s="169"/>
      <c r="Z38" s="131"/>
      <c r="AA38" s="73" t="s">
        <v>94</v>
      </c>
      <c r="AB38" s="74">
        <f t="shared" si="11"/>
        <v>108676.63150074294</v>
      </c>
      <c r="AC38" s="74">
        <f t="shared" si="23"/>
        <v>2692</v>
      </c>
      <c r="AD38" s="74">
        <f t="shared" si="23"/>
        <v>292557492</v>
      </c>
      <c r="AE38" s="74">
        <f t="shared" si="12"/>
        <v>120821.31873653985</v>
      </c>
      <c r="AF38" s="74">
        <v>1393</v>
      </c>
      <c r="AG38" s="74">
        <v>168304097</v>
      </c>
      <c r="AH38" s="74">
        <f t="shared" si="13"/>
        <v>95653.113933795234</v>
      </c>
      <c r="AI38" s="74">
        <v>1299</v>
      </c>
      <c r="AJ38" s="75">
        <v>124253395</v>
      </c>
      <c r="AK38" s="169"/>
      <c r="AL38" s="131"/>
      <c r="AM38" s="73" t="s">
        <v>94</v>
      </c>
      <c r="AN38" s="74">
        <f t="shared" si="14"/>
        <v>248874.86833855801</v>
      </c>
      <c r="AO38" s="74">
        <f t="shared" si="24"/>
        <v>319</v>
      </c>
      <c r="AP38" s="74">
        <f t="shared" si="24"/>
        <v>79391083</v>
      </c>
      <c r="AQ38" s="74">
        <f t="shared" si="15"/>
        <v>258799.54594594595</v>
      </c>
      <c r="AR38" s="74">
        <v>185</v>
      </c>
      <c r="AS38" s="74">
        <v>47877916</v>
      </c>
      <c r="AT38" s="74">
        <f t="shared" si="16"/>
        <v>235172.88805970148</v>
      </c>
      <c r="AU38" s="74">
        <v>134</v>
      </c>
      <c r="AV38" s="75">
        <v>31513167</v>
      </c>
    </row>
    <row r="39" spans="1:48" s="77" customFormat="1" ht="190.15" customHeight="1">
      <c r="A39" s="132" t="s">
        <v>129</v>
      </c>
      <c r="B39" s="132"/>
      <c r="C39" s="132"/>
      <c r="D39" s="132"/>
      <c r="E39" s="132"/>
      <c r="F39" s="132"/>
      <c r="G39" s="132"/>
      <c r="H39" s="132"/>
      <c r="I39" s="132"/>
      <c r="J39" s="132"/>
      <c r="K39" s="132"/>
      <c r="L39" s="132"/>
      <c r="M39" s="132" t="s">
        <v>160</v>
      </c>
      <c r="N39" s="132"/>
      <c r="O39" s="132"/>
      <c r="P39" s="132"/>
      <c r="Q39" s="132"/>
      <c r="R39" s="132"/>
      <c r="S39" s="132"/>
      <c r="T39" s="132"/>
      <c r="U39" s="132"/>
      <c r="V39" s="132"/>
      <c r="W39" s="132"/>
      <c r="X39" s="132"/>
      <c r="Y39" s="132" t="s">
        <v>127</v>
      </c>
      <c r="Z39" s="132"/>
      <c r="AA39" s="132"/>
      <c r="AB39" s="132"/>
      <c r="AC39" s="132"/>
      <c r="AD39" s="132"/>
      <c r="AE39" s="132"/>
      <c r="AF39" s="132"/>
      <c r="AG39" s="132"/>
      <c r="AH39" s="132"/>
      <c r="AI39" s="132"/>
      <c r="AJ39" s="132"/>
      <c r="AK39" s="132" t="s">
        <v>126</v>
      </c>
      <c r="AL39" s="132"/>
      <c r="AM39" s="132"/>
      <c r="AN39" s="132"/>
      <c r="AO39" s="132"/>
      <c r="AP39" s="132"/>
      <c r="AQ39" s="132"/>
      <c r="AR39" s="132"/>
      <c r="AS39" s="132"/>
      <c r="AT39" s="132"/>
      <c r="AU39" s="132"/>
      <c r="AV39" s="132"/>
    </row>
  </sheetData>
  <mergeCells count="48">
    <mergeCell ref="M29:M38"/>
    <mergeCell ref="N29:N38"/>
    <mergeCell ref="A39:L39"/>
    <mergeCell ref="Y39:AJ39"/>
    <mergeCell ref="AK39:AV39"/>
    <mergeCell ref="M39:X39"/>
    <mergeCell ref="A29:A38"/>
    <mergeCell ref="B29:B38"/>
    <mergeCell ref="Y29:Y38"/>
    <mergeCell ref="Z29:Z38"/>
    <mergeCell ref="AK29:AK38"/>
    <mergeCell ref="AL29:AL38"/>
    <mergeCell ref="AL6:AL28"/>
    <mergeCell ref="M6:M28"/>
    <mergeCell ref="N6:N28"/>
    <mergeCell ref="D4:F4"/>
    <mergeCell ref="G4:I4"/>
    <mergeCell ref="J4:L4"/>
    <mergeCell ref="AB4:AD4"/>
    <mergeCell ref="AE4:AG4"/>
    <mergeCell ref="AH4:AJ4"/>
    <mergeCell ref="AL3:AM5"/>
    <mergeCell ref="A6:A28"/>
    <mergeCell ref="B6:B28"/>
    <mergeCell ref="Y6:Y28"/>
    <mergeCell ref="Z6:Z28"/>
    <mergeCell ref="AK6:AK28"/>
    <mergeCell ref="AN3:AV3"/>
    <mergeCell ref="M3:M5"/>
    <mergeCell ref="N3:O5"/>
    <mergeCell ref="S4:U4"/>
    <mergeCell ref="V4:X4"/>
    <mergeCell ref="A1:L1"/>
    <mergeCell ref="Y1:AJ1"/>
    <mergeCell ref="AK1:AV1"/>
    <mergeCell ref="M1:X1"/>
    <mergeCell ref="A3:A5"/>
    <mergeCell ref="B3:C5"/>
    <mergeCell ref="D3:L3"/>
    <mergeCell ref="Y3:Y5"/>
    <mergeCell ref="Z3:AA5"/>
    <mergeCell ref="AB3:AJ3"/>
    <mergeCell ref="P3:X3"/>
    <mergeCell ref="AN4:AP4"/>
    <mergeCell ref="AQ4:AS4"/>
    <mergeCell ref="AT4:AV4"/>
    <mergeCell ref="P4:R4"/>
    <mergeCell ref="AK3:AK5"/>
  </mergeCells>
  <phoneticPr fontId="14" type="noConversion"/>
  <printOptions horizontalCentered="1"/>
  <pageMargins left="0.15748031496062992" right="0.15748031496062992" top="0.59055118110236227" bottom="0.59055118110236227" header="0.51181102362204722" footer="0.31496062992125984"/>
  <pageSetup paperSize="9" orientation="portrait" r:id="rId1"/>
  <headerFooter alignWithMargins="0"/>
  <rowBreaks count="1" manualBreakCount="1">
    <brk id="28" max="16383" man="1"/>
  </rowBreaks>
  <colBreaks count="3" manualBreakCount="3">
    <brk id="24" max="1048575" man="1"/>
    <brk id="36" max="1048575" man="1"/>
    <brk id="12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V39"/>
  <sheetViews>
    <sheetView view="pageBreakPreview" zoomScale="80" zoomScaleNormal="90" zoomScaleSheetLayoutView="80" workbookViewId="0">
      <selection activeCell="A2" sqref="A2"/>
    </sheetView>
  </sheetViews>
  <sheetFormatPr defaultColWidth="9" defaultRowHeight="16.5"/>
  <cols>
    <col min="1" max="1" width="5.625" style="20" customWidth="1"/>
    <col min="2" max="2" width="3.5" style="20" customWidth="1"/>
    <col min="3" max="3" width="9.5" style="32" customWidth="1"/>
    <col min="4" max="4" width="8.25" style="19" customWidth="1"/>
    <col min="5" max="5" width="6.375" style="19" customWidth="1"/>
    <col min="6" max="6" width="12.75" style="19" customWidth="1"/>
    <col min="7" max="7" width="8.25" style="19" customWidth="1"/>
    <col min="8" max="8" width="6.25" style="19" customWidth="1"/>
    <col min="9" max="9" width="12" style="19" customWidth="1"/>
    <col min="10" max="10" width="8.25" style="19" customWidth="1"/>
    <col min="11" max="11" width="6.25" style="19" customWidth="1"/>
    <col min="12" max="12" width="12" style="19" customWidth="1"/>
    <col min="13" max="13" width="5.625" style="19" customWidth="1"/>
    <col min="14" max="14" width="3.5" style="19" customWidth="1"/>
    <col min="15" max="15" width="9.375" style="33" customWidth="1"/>
    <col min="16" max="16" width="6.75" style="19" customWidth="1"/>
    <col min="17" max="17" width="7.375" style="19" customWidth="1"/>
    <col min="18" max="18" width="12.5" style="19" customWidth="1"/>
    <col min="19" max="19" width="6.75" style="19" customWidth="1"/>
    <col min="20" max="20" width="7.375" style="19" customWidth="1"/>
    <col min="21" max="21" width="12.5" style="19" customWidth="1"/>
    <col min="22" max="22" width="6.75" style="19" customWidth="1"/>
    <col min="23" max="23" width="7.375" style="19" customWidth="1"/>
    <col min="24" max="24" width="12.5" style="19" customWidth="1"/>
    <col min="25" max="25" width="6.625" style="19" customWidth="1"/>
    <col min="26" max="26" width="4.625" style="19" customWidth="1"/>
    <col min="27" max="27" width="9.375" style="33" customWidth="1"/>
    <col min="28" max="28" width="7.5" style="19" customWidth="1"/>
    <col min="29" max="29" width="7.25" style="19" customWidth="1"/>
    <col min="30" max="30" width="10.75" style="19" customWidth="1"/>
    <col min="31" max="31" width="7.5" style="19" customWidth="1"/>
    <col min="32" max="32" width="7.25" style="19" customWidth="1"/>
    <col min="33" max="33" width="10.75" style="19" customWidth="1"/>
    <col min="34" max="34" width="7.5" style="19" customWidth="1"/>
    <col min="35" max="35" width="7.25" style="19" customWidth="1"/>
    <col min="36" max="36" width="10.75" style="19" customWidth="1"/>
    <col min="37" max="37" width="6.625" style="19" customWidth="1"/>
    <col min="38" max="38" width="4.625" style="19" customWidth="1"/>
    <col min="39" max="39" width="9.375" style="33" customWidth="1"/>
    <col min="40" max="40" width="8.5" style="19" customWidth="1"/>
    <col min="41" max="41" width="6.75" style="19" customWidth="1"/>
    <col min="42" max="42" width="10.75" style="19" customWidth="1"/>
    <col min="43" max="43" width="8.5" style="19" customWidth="1"/>
    <col min="44" max="44" width="6.75" style="19" customWidth="1"/>
    <col min="45" max="45" width="10.75" style="19" customWidth="1"/>
    <col min="46" max="46" width="8.5" style="19" customWidth="1"/>
    <col min="47" max="47" width="6.75" style="19" customWidth="1"/>
    <col min="48" max="48" width="10.75" style="19" customWidth="1"/>
    <col min="49" max="16384" width="9" style="19"/>
  </cols>
  <sheetData>
    <row r="1" spans="1:48" ht="24" customHeight="1">
      <c r="A1" s="174" t="s">
        <v>121</v>
      </c>
      <c r="B1" s="175"/>
      <c r="C1" s="175"/>
      <c r="D1" s="175"/>
      <c r="E1" s="175"/>
      <c r="F1" s="175"/>
      <c r="G1" s="175"/>
      <c r="H1" s="175"/>
      <c r="I1" s="175"/>
      <c r="J1" s="175"/>
      <c r="K1" s="175"/>
      <c r="L1" s="175"/>
      <c r="M1" s="174" t="s">
        <v>119</v>
      </c>
      <c r="N1" s="175"/>
      <c r="O1" s="175"/>
      <c r="P1" s="175"/>
      <c r="Q1" s="175"/>
      <c r="R1" s="175"/>
      <c r="S1" s="175"/>
      <c r="T1" s="175"/>
      <c r="U1" s="175"/>
      <c r="V1" s="175"/>
      <c r="W1" s="175"/>
      <c r="X1" s="175"/>
      <c r="Y1" s="174" t="s">
        <v>123</v>
      </c>
      <c r="Z1" s="175"/>
      <c r="AA1" s="175"/>
      <c r="AB1" s="175"/>
      <c r="AC1" s="175"/>
      <c r="AD1" s="175"/>
      <c r="AE1" s="175"/>
      <c r="AF1" s="175"/>
      <c r="AG1" s="175"/>
      <c r="AH1" s="175"/>
      <c r="AI1" s="175"/>
      <c r="AJ1" s="175"/>
      <c r="AK1" s="174" t="s">
        <v>122</v>
      </c>
      <c r="AL1" s="175"/>
      <c r="AM1" s="175"/>
      <c r="AN1" s="175"/>
      <c r="AO1" s="175"/>
      <c r="AP1" s="175"/>
      <c r="AQ1" s="175"/>
      <c r="AR1" s="175"/>
      <c r="AS1" s="175"/>
      <c r="AT1" s="175"/>
      <c r="AU1" s="175"/>
      <c r="AV1" s="175"/>
    </row>
    <row r="2" spans="1:48" ht="18" customHeight="1" thickBot="1">
      <c r="AM2" s="34"/>
      <c r="AN2" s="22"/>
      <c r="AO2" s="22"/>
    </row>
    <row r="3" spans="1:48" s="21" customFormat="1" ht="27" customHeight="1">
      <c r="A3" s="135" t="s">
        <v>62</v>
      </c>
      <c r="B3" s="141" t="s">
        <v>52</v>
      </c>
      <c r="C3" s="142"/>
      <c r="D3" s="137" t="s">
        <v>61</v>
      </c>
      <c r="E3" s="137"/>
      <c r="F3" s="138"/>
      <c r="G3" s="138"/>
      <c r="H3" s="138"/>
      <c r="I3" s="138"/>
      <c r="J3" s="138"/>
      <c r="K3" s="139"/>
      <c r="L3" s="140"/>
      <c r="M3" s="135" t="s">
        <v>62</v>
      </c>
      <c r="N3" s="141" t="s">
        <v>52</v>
      </c>
      <c r="O3" s="142"/>
      <c r="P3" s="137" t="str">
        <f>D3</f>
        <v>105年</v>
      </c>
      <c r="Q3" s="137"/>
      <c r="R3" s="138"/>
      <c r="S3" s="138"/>
      <c r="T3" s="138"/>
      <c r="U3" s="138"/>
      <c r="V3" s="138"/>
      <c r="W3" s="139"/>
      <c r="X3" s="140"/>
      <c r="Y3" s="135" t="s">
        <v>62</v>
      </c>
      <c r="Z3" s="141" t="s">
        <v>52</v>
      </c>
      <c r="AA3" s="142"/>
      <c r="AB3" s="137" t="str">
        <f>D3</f>
        <v>105年</v>
      </c>
      <c r="AC3" s="137"/>
      <c r="AD3" s="138"/>
      <c r="AE3" s="138"/>
      <c r="AF3" s="138"/>
      <c r="AG3" s="138"/>
      <c r="AH3" s="138"/>
      <c r="AI3" s="139"/>
      <c r="AJ3" s="140"/>
      <c r="AK3" s="135" t="s">
        <v>62</v>
      </c>
      <c r="AL3" s="141" t="s">
        <v>52</v>
      </c>
      <c r="AM3" s="142"/>
      <c r="AN3" s="137" t="str">
        <f>D3</f>
        <v>105年</v>
      </c>
      <c r="AO3" s="137"/>
      <c r="AP3" s="138"/>
      <c r="AQ3" s="138"/>
      <c r="AR3" s="138"/>
      <c r="AS3" s="138"/>
      <c r="AT3" s="138"/>
      <c r="AU3" s="139"/>
      <c r="AV3" s="140"/>
    </row>
    <row r="4" spans="1:48" s="21" customFormat="1" ht="27" customHeight="1">
      <c r="A4" s="136"/>
      <c r="B4" s="143"/>
      <c r="C4" s="144"/>
      <c r="D4" s="134" t="s">
        <v>12</v>
      </c>
      <c r="E4" s="134"/>
      <c r="F4" s="134"/>
      <c r="G4" s="134" t="s">
        <v>13</v>
      </c>
      <c r="H4" s="134"/>
      <c r="I4" s="134"/>
      <c r="J4" s="134" t="s">
        <v>14</v>
      </c>
      <c r="K4" s="147"/>
      <c r="L4" s="148"/>
      <c r="M4" s="136"/>
      <c r="N4" s="143"/>
      <c r="O4" s="144"/>
      <c r="P4" s="134" t="s">
        <v>12</v>
      </c>
      <c r="Q4" s="134"/>
      <c r="R4" s="134"/>
      <c r="S4" s="134" t="s">
        <v>13</v>
      </c>
      <c r="T4" s="134"/>
      <c r="U4" s="134"/>
      <c r="V4" s="134" t="s">
        <v>14</v>
      </c>
      <c r="W4" s="147"/>
      <c r="X4" s="148"/>
      <c r="Y4" s="136"/>
      <c r="Z4" s="143"/>
      <c r="AA4" s="144"/>
      <c r="AB4" s="134" t="s">
        <v>12</v>
      </c>
      <c r="AC4" s="134"/>
      <c r="AD4" s="134"/>
      <c r="AE4" s="134" t="s">
        <v>13</v>
      </c>
      <c r="AF4" s="134"/>
      <c r="AG4" s="134"/>
      <c r="AH4" s="134" t="s">
        <v>14</v>
      </c>
      <c r="AI4" s="147"/>
      <c r="AJ4" s="148"/>
      <c r="AK4" s="136"/>
      <c r="AL4" s="143"/>
      <c r="AM4" s="144"/>
      <c r="AN4" s="134" t="s">
        <v>12</v>
      </c>
      <c r="AO4" s="134"/>
      <c r="AP4" s="134"/>
      <c r="AQ4" s="134" t="s">
        <v>13</v>
      </c>
      <c r="AR4" s="134"/>
      <c r="AS4" s="134"/>
      <c r="AT4" s="134" t="s">
        <v>14</v>
      </c>
      <c r="AU4" s="147"/>
      <c r="AV4" s="148"/>
    </row>
    <row r="5" spans="1:48" ht="49.5">
      <c r="A5" s="136"/>
      <c r="B5" s="145"/>
      <c r="C5" s="146"/>
      <c r="D5" s="38" t="s">
        <v>124</v>
      </c>
      <c r="E5" s="39" t="s">
        <v>15</v>
      </c>
      <c r="F5" s="39" t="s">
        <v>16</v>
      </c>
      <c r="G5" s="38" t="s">
        <v>124</v>
      </c>
      <c r="H5" s="39" t="s">
        <v>15</v>
      </c>
      <c r="I5" s="39" t="s">
        <v>16</v>
      </c>
      <c r="J5" s="38" t="s">
        <v>124</v>
      </c>
      <c r="K5" s="39" t="s">
        <v>15</v>
      </c>
      <c r="L5" s="40" t="s">
        <v>16</v>
      </c>
      <c r="M5" s="136"/>
      <c r="N5" s="145"/>
      <c r="O5" s="146"/>
      <c r="P5" s="38" t="s">
        <v>167</v>
      </c>
      <c r="Q5" s="83" t="s">
        <v>158</v>
      </c>
      <c r="R5" s="39" t="s">
        <v>16</v>
      </c>
      <c r="S5" s="38" t="s">
        <v>167</v>
      </c>
      <c r="T5" s="83" t="s">
        <v>158</v>
      </c>
      <c r="U5" s="39" t="s">
        <v>16</v>
      </c>
      <c r="V5" s="38" t="s">
        <v>167</v>
      </c>
      <c r="W5" s="83" t="s">
        <v>158</v>
      </c>
      <c r="X5" s="40" t="s">
        <v>16</v>
      </c>
      <c r="Y5" s="136"/>
      <c r="Z5" s="145"/>
      <c r="AA5" s="146"/>
      <c r="AB5" s="38" t="s">
        <v>124</v>
      </c>
      <c r="AC5" s="39" t="s">
        <v>15</v>
      </c>
      <c r="AD5" s="39" t="s">
        <v>16</v>
      </c>
      <c r="AE5" s="38" t="s">
        <v>124</v>
      </c>
      <c r="AF5" s="39" t="s">
        <v>15</v>
      </c>
      <c r="AG5" s="39" t="s">
        <v>16</v>
      </c>
      <c r="AH5" s="38" t="s">
        <v>124</v>
      </c>
      <c r="AI5" s="39" t="s">
        <v>15</v>
      </c>
      <c r="AJ5" s="40" t="s">
        <v>16</v>
      </c>
      <c r="AK5" s="136"/>
      <c r="AL5" s="145"/>
      <c r="AM5" s="146"/>
      <c r="AN5" s="38" t="s">
        <v>124</v>
      </c>
      <c r="AO5" s="39" t="s">
        <v>15</v>
      </c>
      <c r="AP5" s="39" t="s">
        <v>16</v>
      </c>
      <c r="AQ5" s="38" t="s">
        <v>124</v>
      </c>
      <c r="AR5" s="39" t="s">
        <v>15</v>
      </c>
      <c r="AS5" s="39" t="s">
        <v>16</v>
      </c>
      <c r="AT5" s="38" t="s">
        <v>124</v>
      </c>
      <c r="AU5" s="39" t="s">
        <v>15</v>
      </c>
      <c r="AV5" s="40" t="s">
        <v>16</v>
      </c>
    </row>
    <row r="6" spans="1:48" ht="24" customHeight="1">
      <c r="A6" s="180" t="s">
        <v>145</v>
      </c>
      <c r="B6" s="153" t="s">
        <v>17</v>
      </c>
      <c r="C6" s="41" t="s">
        <v>76</v>
      </c>
      <c r="D6" s="42">
        <f t="shared" ref="D6:D38" si="0">F6/E6</f>
        <v>1304764.8012608895</v>
      </c>
      <c r="E6" s="42">
        <f>SUM(E7:E28)</f>
        <v>87240</v>
      </c>
      <c r="F6" s="42">
        <f>SUM(F7:F28)</f>
        <v>113827681262</v>
      </c>
      <c r="G6" s="42">
        <f>I6/H6</f>
        <v>1311583.5820645376</v>
      </c>
      <c r="H6" s="42">
        <f t="shared" ref="H6:L6" si="1">SUM(H7:H28)</f>
        <v>42363</v>
      </c>
      <c r="I6" s="42">
        <f t="shared" si="1"/>
        <v>55562615287</v>
      </c>
      <c r="J6" s="42">
        <f t="shared" ref="J6:J38" si="2">L6/K6</f>
        <v>1298328.0071083184</v>
      </c>
      <c r="K6" s="42">
        <f t="shared" ref="K6" si="3">SUM(K7:K28)</f>
        <v>44877</v>
      </c>
      <c r="L6" s="43">
        <f t="shared" si="1"/>
        <v>58265065975</v>
      </c>
      <c r="M6" s="180" t="s">
        <v>146</v>
      </c>
      <c r="N6" s="153" t="s">
        <v>17</v>
      </c>
      <c r="O6" s="41" t="s">
        <v>76</v>
      </c>
      <c r="P6" s="42">
        <f>R6/Q6/12</f>
        <v>16411.956925189348</v>
      </c>
      <c r="Q6" s="42">
        <v>815080</v>
      </c>
      <c r="R6" s="42">
        <f>U6+X6</f>
        <v>160524694207</v>
      </c>
      <c r="S6" s="42">
        <f>U6/T6/12</f>
        <v>17527.425941077185</v>
      </c>
      <c r="T6" s="42">
        <v>371891.83</v>
      </c>
      <c r="U6" s="42">
        <f>SUM(U7:U28)+(52872)</f>
        <v>78219678101</v>
      </c>
      <c r="V6" s="79">
        <f>X6/W6/12</f>
        <v>15475.935068769248</v>
      </c>
      <c r="W6" s="42">
        <v>443188.17</v>
      </c>
      <c r="X6" s="43">
        <f>SUM(X7:X28)+(0)</f>
        <v>82305016106</v>
      </c>
      <c r="Y6" s="180" t="s">
        <v>150</v>
      </c>
      <c r="Z6" s="153" t="s">
        <v>17</v>
      </c>
      <c r="AA6" s="41" t="s">
        <v>76</v>
      </c>
      <c r="AB6" s="42">
        <f>AD6/AC6</f>
        <v>112131.29750202136</v>
      </c>
      <c r="AC6" s="42">
        <f>AF6+AI6</f>
        <v>23499</v>
      </c>
      <c r="AD6" s="42">
        <f>AG6+AJ6</f>
        <v>2634973360</v>
      </c>
      <c r="AE6" s="42">
        <f>AG6/AF6</f>
        <v>134960.15328273913</v>
      </c>
      <c r="AF6" s="42">
        <f>SUM(AF7:AF28)+(0)</f>
        <v>11332</v>
      </c>
      <c r="AG6" s="42">
        <f>SUM(AG7:AG28)+(0)</f>
        <v>1529368457</v>
      </c>
      <c r="AH6" s="42">
        <f>AJ6/AI6</f>
        <v>90869.146297361716</v>
      </c>
      <c r="AI6" s="42">
        <f>SUM(AI7:AI28)+(2)</f>
        <v>12167</v>
      </c>
      <c r="AJ6" s="43">
        <f>SUM(AJ7:AJ28)+(10276)</f>
        <v>1105604903</v>
      </c>
      <c r="AK6" s="180" t="s">
        <v>152</v>
      </c>
      <c r="AL6" s="153" t="s">
        <v>17</v>
      </c>
      <c r="AM6" s="41" t="s">
        <v>76</v>
      </c>
      <c r="AN6" s="42">
        <f>AP6/AO6</f>
        <v>835981.6203898841</v>
      </c>
      <c r="AO6" s="42">
        <f>SUM(AO7:AO28)</f>
        <v>3796</v>
      </c>
      <c r="AP6" s="42">
        <f>SUM(AP7:AP28)</f>
        <v>3173386231</v>
      </c>
      <c r="AQ6" s="42">
        <f>AS6/AR6</f>
        <v>870075.22833622189</v>
      </c>
      <c r="AR6" s="42">
        <f t="shared" ref="AR6:AS6" si="4">SUM(AR7:AR28)</f>
        <v>2308</v>
      </c>
      <c r="AS6" s="42">
        <f t="shared" si="4"/>
        <v>2008133627</v>
      </c>
      <c r="AT6" s="42">
        <f>AV6/AU6</f>
        <v>783099.8682795699</v>
      </c>
      <c r="AU6" s="42">
        <f t="shared" ref="AU6:AV6" si="5">SUM(AU7:AU28)</f>
        <v>1488</v>
      </c>
      <c r="AV6" s="43">
        <f t="shared" si="5"/>
        <v>1165252604</v>
      </c>
    </row>
    <row r="7" spans="1:48" ht="24" customHeight="1">
      <c r="A7" s="181"/>
      <c r="B7" s="154"/>
      <c r="C7" s="41" t="s">
        <v>95</v>
      </c>
      <c r="D7" s="42">
        <f t="shared" si="0"/>
        <v>1359217.3842183412</v>
      </c>
      <c r="E7" s="42">
        <f>H7+K7</f>
        <v>14143</v>
      </c>
      <c r="F7" s="42">
        <f>I7+L7</f>
        <v>19223411465</v>
      </c>
      <c r="G7" s="42">
        <f t="shared" ref="G7:G38" si="6">I7/H7</f>
        <v>1358315.5696763706</v>
      </c>
      <c r="H7" s="42">
        <v>6767</v>
      </c>
      <c r="I7" s="42">
        <v>9191721460</v>
      </c>
      <c r="J7" s="42">
        <f t="shared" si="2"/>
        <v>1360044.7403741865</v>
      </c>
      <c r="K7" s="42">
        <v>7376</v>
      </c>
      <c r="L7" s="43">
        <v>10031690005</v>
      </c>
      <c r="M7" s="181"/>
      <c r="N7" s="154"/>
      <c r="O7" s="41" t="s">
        <v>95</v>
      </c>
      <c r="P7" s="42">
        <f t="shared" ref="P7:P28" si="7">R7/Q7/12</f>
        <v>16555.474524213689</v>
      </c>
      <c r="Q7" s="42">
        <v>117344.17</v>
      </c>
      <c r="R7" s="42">
        <f t="shared" ref="R7:R12" si="8">U7+X7</f>
        <v>23312261004</v>
      </c>
      <c r="S7" s="42">
        <f t="shared" ref="S7:S28" si="9">U7/T7/12</f>
        <v>17427.099602150847</v>
      </c>
      <c r="T7" s="42">
        <v>53576.42</v>
      </c>
      <c r="U7" s="42">
        <v>11204179292</v>
      </c>
      <c r="V7" s="79">
        <f t="shared" ref="V7:V28" si="10">X7/W7/12</f>
        <v>15823.152131498027</v>
      </c>
      <c r="W7" s="42">
        <v>63767.75</v>
      </c>
      <c r="X7" s="43">
        <v>12108081712</v>
      </c>
      <c r="Y7" s="181"/>
      <c r="Z7" s="154"/>
      <c r="AA7" s="41" t="s">
        <v>95</v>
      </c>
      <c r="AB7" s="42">
        <f t="shared" ref="AB7:AB38" si="11">AD7/AC7</f>
        <v>117356.97078986587</v>
      </c>
      <c r="AC7" s="42">
        <f>AF7+AI7</f>
        <v>3355</v>
      </c>
      <c r="AD7" s="42">
        <f>AG7+AJ7</f>
        <v>393732637</v>
      </c>
      <c r="AE7" s="42">
        <f t="shared" ref="AE7:AE38" si="12">AG7/AF7</f>
        <v>140331.64646464647</v>
      </c>
      <c r="AF7" s="42">
        <v>1584</v>
      </c>
      <c r="AG7" s="42">
        <v>222285328</v>
      </c>
      <c r="AH7" s="42">
        <f t="shared" ref="AH7:AH38" si="13">AJ7/AI7</f>
        <v>96808.192546583858</v>
      </c>
      <c r="AI7" s="42">
        <v>1771</v>
      </c>
      <c r="AJ7" s="43">
        <v>171447309</v>
      </c>
      <c r="AK7" s="181"/>
      <c r="AL7" s="154"/>
      <c r="AM7" s="41" t="s">
        <v>95</v>
      </c>
      <c r="AN7" s="42">
        <f t="shared" ref="AN7:AN38" si="14">AP7/AO7</f>
        <v>867039.5230769231</v>
      </c>
      <c r="AO7" s="42">
        <f>AR7+AU7</f>
        <v>520</v>
      </c>
      <c r="AP7" s="42">
        <f>AS7+AV7</f>
        <v>450860552</v>
      </c>
      <c r="AQ7" s="42">
        <f t="shared" ref="AQ7:AQ38" si="15">AS7/AR7</f>
        <v>864068.29970326414</v>
      </c>
      <c r="AR7" s="42">
        <v>337</v>
      </c>
      <c r="AS7" s="42">
        <v>291191017</v>
      </c>
      <c r="AT7" s="42">
        <f t="shared" ref="AT7:AT38" si="16">AV7/AU7</f>
        <v>872511.12021857919</v>
      </c>
      <c r="AU7" s="42">
        <v>183</v>
      </c>
      <c r="AV7" s="43">
        <v>159669535</v>
      </c>
    </row>
    <row r="8" spans="1:48" ht="24" customHeight="1">
      <c r="A8" s="181"/>
      <c r="B8" s="154"/>
      <c r="C8" s="41" t="s">
        <v>96</v>
      </c>
      <c r="D8" s="42">
        <f t="shared" si="0"/>
        <v>1308292.5279300364</v>
      </c>
      <c r="E8" s="42">
        <f t="shared" ref="E8:F28" si="17">H8+K8</f>
        <v>16237</v>
      </c>
      <c r="F8" s="42">
        <f t="shared" si="17"/>
        <v>21242745776</v>
      </c>
      <c r="G8" s="42">
        <f t="shared" si="6"/>
        <v>1306677.1271008404</v>
      </c>
      <c r="H8" s="42">
        <v>7616</v>
      </c>
      <c r="I8" s="42">
        <v>9951653000</v>
      </c>
      <c r="J8" s="42">
        <f t="shared" si="2"/>
        <v>1309719.612109964</v>
      </c>
      <c r="K8" s="42">
        <v>8621</v>
      </c>
      <c r="L8" s="43">
        <v>11291092776</v>
      </c>
      <c r="M8" s="181"/>
      <c r="N8" s="154"/>
      <c r="O8" s="41" t="s">
        <v>96</v>
      </c>
      <c r="P8" s="42">
        <f t="shared" si="7"/>
        <v>16747.270391701877</v>
      </c>
      <c r="Q8" s="42">
        <v>168504</v>
      </c>
      <c r="R8" s="42">
        <f t="shared" si="8"/>
        <v>33863784601</v>
      </c>
      <c r="S8" s="42">
        <f t="shared" si="9"/>
        <v>17745.582950118805</v>
      </c>
      <c r="T8" s="42">
        <v>79483.33</v>
      </c>
      <c r="U8" s="42">
        <v>16925736308</v>
      </c>
      <c r="V8" s="79">
        <f t="shared" si="10"/>
        <v>15855.913288640344</v>
      </c>
      <c r="W8" s="42">
        <v>89020.67</v>
      </c>
      <c r="X8" s="80">
        <v>16938048293</v>
      </c>
      <c r="Y8" s="181"/>
      <c r="Z8" s="154"/>
      <c r="AA8" s="41" t="s">
        <v>96</v>
      </c>
      <c r="AB8" s="42">
        <f t="shared" si="11"/>
        <v>115620.50725806452</v>
      </c>
      <c r="AC8" s="42">
        <f t="shared" ref="AC8:AD28" si="18">AF8+AI8</f>
        <v>6200</v>
      </c>
      <c r="AD8" s="42">
        <f t="shared" si="18"/>
        <v>716847145</v>
      </c>
      <c r="AE8" s="42">
        <f t="shared" si="12"/>
        <v>136250.9219187675</v>
      </c>
      <c r="AF8" s="42">
        <v>2856</v>
      </c>
      <c r="AG8" s="42">
        <v>389132633</v>
      </c>
      <c r="AH8" s="42">
        <f t="shared" si="13"/>
        <v>98000.751196172248</v>
      </c>
      <c r="AI8" s="42">
        <v>3344</v>
      </c>
      <c r="AJ8" s="43">
        <v>327714512</v>
      </c>
      <c r="AK8" s="181"/>
      <c r="AL8" s="154"/>
      <c r="AM8" s="41" t="s">
        <v>96</v>
      </c>
      <c r="AN8" s="42">
        <f t="shared" si="14"/>
        <v>878992.50074294209</v>
      </c>
      <c r="AO8" s="42">
        <f t="shared" ref="AO8:AP28" si="19">AR8+AU8</f>
        <v>673</v>
      </c>
      <c r="AP8" s="42">
        <f t="shared" si="19"/>
        <v>591561953</v>
      </c>
      <c r="AQ8" s="42">
        <f t="shared" si="15"/>
        <v>902374.28132387705</v>
      </c>
      <c r="AR8" s="42">
        <v>423</v>
      </c>
      <c r="AS8" s="42">
        <v>381704321</v>
      </c>
      <c r="AT8" s="42">
        <f t="shared" si="16"/>
        <v>839430.52800000005</v>
      </c>
      <c r="AU8" s="42">
        <v>250</v>
      </c>
      <c r="AV8" s="43">
        <v>209857632</v>
      </c>
    </row>
    <row r="9" spans="1:48" ht="24" customHeight="1">
      <c r="A9" s="181"/>
      <c r="B9" s="154"/>
      <c r="C9" s="41" t="s">
        <v>101</v>
      </c>
      <c r="D9" s="42">
        <f t="shared" ref="D9" si="20">F9/E9</f>
        <v>1359936.6244997142</v>
      </c>
      <c r="E9" s="42">
        <f t="shared" si="17"/>
        <v>6996</v>
      </c>
      <c r="F9" s="42">
        <f t="shared" si="17"/>
        <v>9514116625</v>
      </c>
      <c r="G9" s="42">
        <f t="shared" si="6"/>
        <v>1398282.7878702397</v>
      </c>
      <c r="H9" s="42">
        <v>3545</v>
      </c>
      <c r="I9" s="42">
        <v>4956912483</v>
      </c>
      <c r="J9" s="42">
        <f t="shared" ref="J9" si="21">L9/K9</f>
        <v>1320545.9698638075</v>
      </c>
      <c r="K9" s="42">
        <v>3451</v>
      </c>
      <c r="L9" s="43">
        <v>4557204142</v>
      </c>
      <c r="M9" s="181"/>
      <c r="N9" s="154"/>
      <c r="O9" s="41" t="s">
        <v>101</v>
      </c>
      <c r="P9" s="42">
        <f t="shared" si="7"/>
        <v>16918.88400559736</v>
      </c>
      <c r="Q9" s="42">
        <v>56107.42</v>
      </c>
      <c r="R9" s="42">
        <f t="shared" si="8"/>
        <v>11391299170</v>
      </c>
      <c r="S9" s="42">
        <f t="shared" si="9"/>
        <v>18301.836070741003</v>
      </c>
      <c r="T9" s="42">
        <v>28151.33</v>
      </c>
      <c r="U9" s="42">
        <v>6182652322</v>
      </c>
      <c r="V9" s="79">
        <f t="shared" si="10"/>
        <v>15526.279220834966</v>
      </c>
      <c r="W9" s="42">
        <v>27956.080000000002</v>
      </c>
      <c r="X9" s="43">
        <v>5208646848</v>
      </c>
      <c r="Y9" s="181"/>
      <c r="Z9" s="154"/>
      <c r="AA9" s="41" t="s">
        <v>101</v>
      </c>
      <c r="AB9" s="42">
        <f t="shared" si="11"/>
        <v>123052.63583138173</v>
      </c>
      <c r="AC9" s="42">
        <f t="shared" si="18"/>
        <v>1708</v>
      </c>
      <c r="AD9" s="42">
        <f t="shared" si="18"/>
        <v>210173902</v>
      </c>
      <c r="AE9" s="42">
        <f t="shared" si="12"/>
        <v>149928.02517985611</v>
      </c>
      <c r="AF9" s="42">
        <v>834</v>
      </c>
      <c r="AG9" s="42">
        <v>125039973</v>
      </c>
      <c r="AH9" s="42">
        <f t="shared" si="13"/>
        <v>97407.241418764301</v>
      </c>
      <c r="AI9" s="42">
        <v>874</v>
      </c>
      <c r="AJ9" s="43">
        <v>85133929</v>
      </c>
      <c r="AK9" s="181"/>
      <c r="AL9" s="154"/>
      <c r="AM9" s="41" t="s">
        <v>101</v>
      </c>
      <c r="AN9" s="42">
        <f t="shared" si="14"/>
        <v>868358.33333333337</v>
      </c>
      <c r="AO9" s="42">
        <f t="shared" si="19"/>
        <v>222</v>
      </c>
      <c r="AP9" s="42">
        <f t="shared" si="19"/>
        <v>192775550</v>
      </c>
      <c r="AQ9" s="42">
        <f t="shared" si="15"/>
        <v>908596.44366197183</v>
      </c>
      <c r="AR9" s="42">
        <v>142</v>
      </c>
      <c r="AS9" s="42">
        <v>129020695</v>
      </c>
      <c r="AT9" s="42">
        <f t="shared" si="16"/>
        <v>796935.6875</v>
      </c>
      <c r="AU9" s="42">
        <v>80</v>
      </c>
      <c r="AV9" s="43">
        <v>63754855</v>
      </c>
    </row>
    <row r="10" spans="1:48" ht="24" customHeight="1">
      <c r="A10" s="181"/>
      <c r="B10" s="154"/>
      <c r="C10" s="41" t="s">
        <v>97</v>
      </c>
      <c r="D10" s="42">
        <f t="shared" si="0"/>
        <v>1238400.237336047</v>
      </c>
      <c r="E10" s="42">
        <f t="shared" si="17"/>
        <v>8844</v>
      </c>
      <c r="F10" s="42">
        <f t="shared" si="17"/>
        <v>10952411699</v>
      </c>
      <c r="G10" s="42">
        <f t="shared" si="6"/>
        <v>1270707.0180763223</v>
      </c>
      <c r="H10" s="42">
        <v>4481</v>
      </c>
      <c r="I10" s="42">
        <v>5694038148</v>
      </c>
      <c r="J10" s="42">
        <f t="shared" si="2"/>
        <v>1205219.6999770801</v>
      </c>
      <c r="K10" s="42">
        <v>4363</v>
      </c>
      <c r="L10" s="43">
        <v>5258373551</v>
      </c>
      <c r="M10" s="181"/>
      <c r="N10" s="154"/>
      <c r="O10" s="41" t="s">
        <v>97</v>
      </c>
      <c r="P10" s="42">
        <f t="shared" si="7"/>
        <v>15533.791942141941</v>
      </c>
      <c r="Q10" s="42">
        <v>76024.67</v>
      </c>
      <c r="R10" s="42">
        <f t="shared" si="8"/>
        <v>14171416875</v>
      </c>
      <c r="S10" s="42">
        <f t="shared" si="9"/>
        <v>16647.35864728249</v>
      </c>
      <c r="T10" s="42">
        <v>37589.42</v>
      </c>
      <c r="U10" s="42">
        <v>7509174673</v>
      </c>
      <c r="V10" s="79">
        <f t="shared" si="10"/>
        <v>14444.731078025165</v>
      </c>
      <c r="W10" s="42">
        <v>38435.25</v>
      </c>
      <c r="X10" s="50">
        <v>6662242202</v>
      </c>
      <c r="Y10" s="181"/>
      <c r="Z10" s="154"/>
      <c r="AA10" s="41" t="s">
        <v>97</v>
      </c>
      <c r="AB10" s="42">
        <f t="shared" si="11"/>
        <v>110227.9014762516</v>
      </c>
      <c r="AC10" s="42">
        <f t="shared" si="18"/>
        <v>3116</v>
      </c>
      <c r="AD10" s="42">
        <f t="shared" si="18"/>
        <v>343470141</v>
      </c>
      <c r="AE10" s="42">
        <f t="shared" si="12"/>
        <v>132893.71187584347</v>
      </c>
      <c r="AF10" s="42">
        <v>1482</v>
      </c>
      <c r="AG10" s="42">
        <v>196948481</v>
      </c>
      <c r="AH10" s="42">
        <f t="shared" si="13"/>
        <v>89670.538555691557</v>
      </c>
      <c r="AI10" s="42">
        <v>1634</v>
      </c>
      <c r="AJ10" s="43">
        <v>146521660</v>
      </c>
      <c r="AK10" s="181"/>
      <c r="AL10" s="154"/>
      <c r="AM10" s="41" t="s">
        <v>97</v>
      </c>
      <c r="AN10" s="42">
        <f t="shared" si="14"/>
        <v>802289.64809384162</v>
      </c>
      <c r="AO10" s="42">
        <f t="shared" si="19"/>
        <v>341</v>
      </c>
      <c r="AP10" s="42">
        <f t="shared" si="19"/>
        <v>273580770</v>
      </c>
      <c r="AQ10" s="42">
        <f t="shared" si="15"/>
        <v>848004.55656108598</v>
      </c>
      <c r="AR10" s="42">
        <v>221</v>
      </c>
      <c r="AS10" s="42">
        <v>187409007</v>
      </c>
      <c r="AT10" s="42">
        <f t="shared" si="16"/>
        <v>718098.02500000002</v>
      </c>
      <c r="AU10" s="42">
        <v>120</v>
      </c>
      <c r="AV10" s="43">
        <v>86171763</v>
      </c>
    </row>
    <row r="11" spans="1:48" ht="24" customHeight="1">
      <c r="A11" s="181"/>
      <c r="B11" s="154"/>
      <c r="C11" s="41" t="s">
        <v>98</v>
      </c>
      <c r="D11" s="42">
        <f t="shared" si="0"/>
        <v>1156010.172774869</v>
      </c>
      <c r="E11" s="42">
        <f t="shared" si="17"/>
        <v>5921</v>
      </c>
      <c r="F11" s="42">
        <f t="shared" si="17"/>
        <v>6844736233</v>
      </c>
      <c r="G11" s="42">
        <f t="shared" si="6"/>
        <v>1197811.3843308676</v>
      </c>
      <c r="H11" s="42">
        <v>2974</v>
      </c>
      <c r="I11" s="42">
        <v>3562291057</v>
      </c>
      <c r="J11" s="42">
        <f t="shared" si="2"/>
        <v>1113825.9843909061</v>
      </c>
      <c r="K11" s="42">
        <v>2947</v>
      </c>
      <c r="L11" s="43">
        <v>3282445176</v>
      </c>
      <c r="M11" s="181"/>
      <c r="N11" s="154"/>
      <c r="O11" s="41" t="s">
        <v>98</v>
      </c>
      <c r="P11" s="42">
        <f t="shared" si="7"/>
        <v>14953.733945394031</v>
      </c>
      <c r="Q11" s="42">
        <v>59090</v>
      </c>
      <c r="R11" s="42">
        <f t="shared" si="8"/>
        <v>10603393666</v>
      </c>
      <c r="S11" s="42">
        <f t="shared" si="9"/>
        <v>16262.97882489503</v>
      </c>
      <c r="T11" s="42">
        <v>27567.75</v>
      </c>
      <c r="U11" s="42">
        <v>5380004814</v>
      </c>
      <c r="V11" s="79">
        <f t="shared" si="10"/>
        <v>13808.735237279487</v>
      </c>
      <c r="W11" s="42">
        <v>31522.25</v>
      </c>
      <c r="X11" s="43">
        <v>5223388852</v>
      </c>
      <c r="Y11" s="181"/>
      <c r="Z11" s="154"/>
      <c r="AA11" s="41" t="s">
        <v>98</v>
      </c>
      <c r="AB11" s="42">
        <f t="shared" si="11"/>
        <v>111777.4893964111</v>
      </c>
      <c r="AC11" s="42">
        <f t="shared" si="18"/>
        <v>1839</v>
      </c>
      <c r="AD11" s="42">
        <f t="shared" si="18"/>
        <v>205558803</v>
      </c>
      <c r="AE11" s="42">
        <f t="shared" si="12"/>
        <v>134575.72708547889</v>
      </c>
      <c r="AF11" s="42">
        <v>971</v>
      </c>
      <c r="AG11" s="42">
        <v>130673031</v>
      </c>
      <c r="AH11" s="42">
        <f t="shared" si="13"/>
        <v>86273.930875576043</v>
      </c>
      <c r="AI11" s="42">
        <v>868</v>
      </c>
      <c r="AJ11" s="43">
        <v>74885772</v>
      </c>
      <c r="AK11" s="181"/>
      <c r="AL11" s="154"/>
      <c r="AM11" s="41" t="s">
        <v>98</v>
      </c>
      <c r="AN11" s="42">
        <f t="shared" si="14"/>
        <v>713712.1551155115</v>
      </c>
      <c r="AO11" s="42">
        <f t="shared" si="19"/>
        <v>303</v>
      </c>
      <c r="AP11" s="42">
        <f t="shared" si="19"/>
        <v>216254783</v>
      </c>
      <c r="AQ11" s="42">
        <f t="shared" si="15"/>
        <v>771181.20634920639</v>
      </c>
      <c r="AR11" s="42">
        <v>189</v>
      </c>
      <c r="AS11" s="42">
        <v>145753248</v>
      </c>
      <c r="AT11" s="42">
        <f t="shared" si="16"/>
        <v>618434.51754385966</v>
      </c>
      <c r="AU11" s="42">
        <v>114</v>
      </c>
      <c r="AV11" s="43">
        <v>70501535</v>
      </c>
    </row>
    <row r="12" spans="1:48" ht="24" customHeight="1">
      <c r="A12" s="181"/>
      <c r="B12" s="154"/>
      <c r="C12" s="41" t="s">
        <v>99</v>
      </c>
      <c r="D12" s="42">
        <f t="shared" si="0"/>
        <v>1229548.7825240828</v>
      </c>
      <c r="E12" s="42">
        <f t="shared" si="17"/>
        <v>10277</v>
      </c>
      <c r="F12" s="42">
        <f t="shared" si="17"/>
        <v>12636072838</v>
      </c>
      <c r="G12" s="42">
        <f t="shared" si="6"/>
        <v>1236665.1986124876</v>
      </c>
      <c r="H12" s="42">
        <v>5045</v>
      </c>
      <c r="I12" s="42">
        <v>6238975927</v>
      </c>
      <c r="J12" s="42">
        <f t="shared" si="2"/>
        <v>1222686.7184633028</v>
      </c>
      <c r="K12" s="42">
        <v>5232</v>
      </c>
      <c r="L12" s="43">
        <v>6397096911</v>
      </c>
      <c r="M12" s="181"/>
      <c r="N12" s="154"/>
      <c r="O12" s="41" t="s">
        <v>99</v>
      </c>
      <c r="P12" s="42">
        <f t="shared" si="7"/>
        <v>16523.122022441723</v>
      </c>
      <c r="Q12" s="42">
        <v>106074.75</v>
      </c>
      <c r="R12" s="42">
        <f t="shared" si="8"/>
        <v>21032232453</v>
      </c>
      <c r="S12" s="42">
        <f t="shared" si="9"/>
        <v>18284.19694469633</v>
      </c>
      <c r="T12" s="42">
        <v>47386.67</v>
      </c>
      <c r="U12" s="42">
        <v>10397126482</v>
      </c>
      <c r="V12" s="79">
        <f t="shared" si="10"/>
        <v>15101.172689865925</v>
      </c>
      <c r="W12" s="42">
        <v>58688.08</v>
      </c>
      <c r="X12" s="43">
        <v>10635105971</v>
      </c>
      <c r="Y12" s="181"/>
      <c r="Z12" s="154"/>
      <c r="AA12" s="41" t="s">
        <v>99</v>
      </c>
      <c r="AB12" s="42">
        <f t="shared" si="11"/>
        <v>99912.27482383087</v>
      </c>
      <c r="AC12" s="42">
        <f t="shared" si="18"/>
        <v>3122</v>
      </c>
      <c r="AD12" s="42">
        <f t="shared" si="18"/>
        <v>311926122</v>
      </c>
      <c r="AE12" s="42">
        <f t="shared" si="12"/>
        <v>128022.04274084125</v>
      </c>
      <c r="AF12" s="42">
        <v>1474</v>
      </c>
      <c r="AG12" s="42">
        <v>188704491</v>
      </c>
      <c r="AH12" s="42">
        <f t="shared" si="13"/>
        <v>74770.407160194169</v>
      </c>
      <c r="AI12" s="42">
        <v>1648</v>
      </c>
      <c r="AJ12" s="43">
        <v>123221631</v>
      </c>
      <c r="AK12" s="181"/>
      <c r="AL12" s="154"/>
      <c r="AM12" s="41" t="s">
        <v>99</v>
      </c>
      <c r="AN12" s="42">
        <f t="shared" si="14"/>
        <v>852999.82363013702</v>
      </c>
      <c r="AO12" s="42">
        <f t="shared" si="19"/>
        <v>584</v>
      </c>
      <c r="AP12" s="42">
        <f t="shared" si="19"/>
        <v>498151897</v>
      </c>
      <c r="AQ12" s="42">
        <f t="shared" si="15"/>
        <v>902429.1043478261</v>
      </c>
      <c r="AR12" s="42">
        <v>345</v>
      </c>
      <c r="AS12" s="42">
        <v>311338041</v>
      </c>
      <c r="AT12" s="42">
        <f t="shared" si="16"/>
        <v>781647.93305439327</v>
      </c>
      <c r="AU12" s="42">
        <v>239</v>
      </c>
      <c r="AV12" s="43">
        <v>186813856</v>
      </c>
    </row>
    <row r="13" spans="1:48" ht="24" customHeight="1">
      <c r="A13" s="182"/>
      <c r="B13" s="155"/>
      <c r="C13" s="44" t="s">
        <v>77</v>
      </c>
      <c r="D13" s="45">
        <f t="shared" si="0"/>
        <v>1563550.5863999999</v>
      </c>
      <c r="E13" s="45">
        <f t="shared" si="17"/>
        <v>2500</v>
      </c>
      <c r="F13" s="45">
        <f t="shared" si="17"/>
        <v>3908876466</v>
      </c>
      <c r="G13" s="45">
        <f t="shared" si="6"/>
        <v>1488844.1162587414</v>
      </c>
      <c r="H13" s="45">
        <v>1144</v>
      </c>
      <c r="I13" s="45">
        <v>1703237669</v>
      </c>
      <c r="J13" s="45">
        <f t="shared" si="2"/>
        <v>1626577.2839233039</v>
      </c>
      <c r="K13" s="45">
        <v>1356</v>
      </c>
      <c r="L13" s="46">
        <v>2205638797</v>
      </c>
      <c r="M13" s="182"/>
      <c r="N13" s="155"/>
      <c r="O13" s="44" t="s">
        <v>77</v>
      </c>
      <c r="P13" s="45">
        <f t="shared" si="7"/>
        <v>18271.553523519418</v>
      </c>
      <c r="Q13" s="45">
        <v>21338.75</v>
      </c>
      <c r="R13" s="45">
        <f t="shared" ref="R13:R28" si="22">U13+X13</f>
        <v>4678705353</v>
      </c>
      <c r="S13" s="45">
        <f t="shared" si="9"/>
        <v>18915.954339237647</v>
      </c>
      <c r="T13" s="45">
        <v>7678</v>
      </c>
      <c r="U13" s="45">
        <v>1742840369</v>
      </c>
      <c r="V13" s="81">
        <f t="shared" si="10"/>
        <v>17909.369202520604</v>
      </c>
      <c r="W13" s="45">
        <v>13660.75</v>
      </c>
      <c r="X13" s="46">
        <v>2935864984</v>
      </c>
      <c r="Y13" s="182"/>
      <c r="Z13" s="155"/>
      <c r="AA13" s="44" t="s">
        <v>77</v>
      </c>
      <c r="AB13" s="45">
        <f t="shared" si="11"/>
        <v>117772.59859154929</v>
      </c>
      <c r="AC13" s="45">
        <f t="shared" si="18"/>
        <v>142</v>
      </c>
      <c r="AD13" s="45">
        <f t="shared" si="18"/>
        <v>16723709</v>
      </c>
      <c r="AE13" s="45">
        <f t="shared" si="12"/>
        <v>131277.08695652173</v>
      </c>
      <c r="AF13" s="45">
        <v>92</v>
      </c>
      <c r="AG13" s="45">
        <v>12077492</v>
      </c>
      <c r="AH13" s="45">
        <f t="shared" si="13"/>
        <v>92924.34</v>
      </c>
      <c r="AI13" s="45">
        <v>50</v>
      </c>
      <c r="AJ13" s="46">
        <v>4646217</v>
      </c>
      <c r="AK13" s="182"/>
      <c r="AL13" s="155"/>
      <c r="AM13" s="44" t="s">
        <v>77</v>
      </c>
      <c r="AN13" s="45">
        <f t="shared" si="14"/>
        <v>874611.51</v>
      </c>
      <c r="AO13" s="45">
        <f t="shared" si="19"/>
        <v>100</v>
      </c>
      <c r="AP13" s="45">
        <f t="shared" si="19"/>
        <v>87461151</v>
      </c>
      <c r="AQ13" s="45">
        <f t="shared" si="15"/>
        <v>882641.62</v>
      </c>
      <c r="AR13" s="45">
        <v>50</v>
      </c>
      <c r="AS13" s="45">
        <v>44132081</v>
      </c>
      <c r="AT13" s="45">
        <f t="shared" si="16"/>
        <v>866581.4</v>
      </c>
      <c r="AU13" s="45">
        <v>50</v>
      </c>
      <c r="AV13" s="46">
        <v>43329070</v>
      </c>
    </row>
    <row r="14" spans="1:48" ht="24" customHeight="1">
      <c r="A14" s="182"/>
      <c r="B14" s="155"/>
      <c r="C14" s="44" t="s">
        <v>79</v>
      </c>
      <c r="D14" s="45">
        <f t="shared" si="0"/>
        <v>1428107.7343584306</v>
      </c>
      <c r="E14" s="45">
        <f t="shared" si="17"/>
        <v>1886</v>
      </c>
      <c r="F14" s="45">
        <f t="shared" si="17"/>
        <v>2693411187</v>
      </c>
      <c r="G14" s="45">
        <f t="shared" si="6"/>
        <v>1458957.3475409837</v>
      </c>
      <c r="H14" s="45">
        <v>915</v>
      </c>
      <c r="I14" s="45">
        <v>1334945973</v>
      </c>
      <c r="J14" s="45">
        <f t="shared" si="2"/>
        <v>1399037.2955715756</v>
      </c>
      <c r="K14" s="45">
        <v>971</v>
      </c>
      <c r="L14" s="46">
        <v>1358465214</v>
      </c>
      <c r="M14" s="182"/>
      <c r="N14" s="155"/>
      <c r="O14" s="44" t="s">
        <v>79</v>
      </c>
      <c r="P14" s="45">
        <f t="shared" si="7"/>
        <v>17537.400566078224</v>
      </c>
      <c r="Q14" s="45">
        <v>13234.92</v>
      </c>
      <c r="R14" s="45">
        <f t="shared" si="22"/>
        <v>2785273122</v>
      </c>
      <c r="S14" s="45">
        <f t="shared" si="9"/>
        <v>18494.680253532319</v>
      </c>
      <c r="T14" s="45">
        <v>5881.17</v>
      </c>
      <c r="U14" s="45">
        <v>1305244304</v>
      </c>
      <c r="V14" s="81">
        <f t="shared" si="10"/>
        <v>16771.815037679189</v>
      </c>
      <c r="W14" s="45">
        <v>7353.75</v>
      </c>
      <c r="X14" s="46">
        <v>1480028818</v>
      </c>
      <c r="Y14" s="182"/>
      <c r="Z14" s="155"/>
      <c r="AA14" s="44" t="s">
        <v>79</v>
      </c>
      <c r="AB14" s="45">
        <f t="shared" si="11"/>
        <v>118993.15891472869</v>
      </c>
      <c r="AC14" s="45">
        <f t="shared" si="18"/>
        <v>258</v>
      </c>
      <c r="AD14" s="45">
        <f t="shared" si="18"/>
        <v>30700235</v>
      </c>
      <c r="AE14" s="45">
        <f t="shared" si="12"/>
        <v>136792.04827586206</v>
      </c>
      <c r="AF14" s="45">
        <v>145</v>
      </c>
      <c r="AG14" s="45">
        <v>19834847</v>
      </c>
      <c r="AH14" s="45">
        <f t="shared" si="13"/>
        <v>96153.876106194686</v>
      </c>
      <c r="AI14" s="45">
        <v>113</v>
      </c>
      <c r="AJ14" s="46">
        <v>10865388</v>
      </c>
      <c r="AK14" s="182"/>
      <c r="AL14" s="155"/>
      <c r="AM14" s="44" t="s">
        <v>79</v>
      </c>
      <c r="AN14" s="45">
        <f t="shared" si="14"/>
        <v>907746.48780487804</v>
      </c>
      <c r="AO14" s="45">
        <f t="shared" si="19"/>
        <v>41</v>
      </c>
      <c r="AP14" s="45">
        <f t="shared" si="19"/>
        <v>37217606</v>
      </c>
      <c r="AQ14" s="45">
        <f t="shared" si="15"/>
        <v>1041514.1851851852</v>
      </c>
      <c r="AR14" s="45">
        <v>27</v>
      </c>
      <c r="AS14" s="45">
        <v>28120883</v>
      </c>
      <c r="AT14" s="45">
        <f t="shared" si="16"/>
        <v>649765.92857142852</v>
      </c>
      <c r="AU14" s="45">
        <v>14</v>
      </c>
      <c r="AV14" s="46">
        <v>9096723</v>
      </c>
    </row>
    <row r="15" spans="1:48" ht="24" customHeight="1">
      <c r="A15" s="182"/>
      <c r="B15" s="155"/>
      <c r="C15" s="44" t="s">
        <v>80</v>
      </c>
      <c r="D15" s="45">
        <f t="shared" si="0"/>
        <v>1344836.5191024863</v>
      </c>
      <c r="E15" s="45">
        <f t="shared" si="17"/>
        <v>1649</v>
      </c>
      <c r="F15" s="45">
        <f t="shared" si="17"/>
        <v>2217635420</v>
      </c>
      <c r="G15" s="45">
        <f t="shared" si="6"/>
        <v>1371663.1658291458</v>
      </c>
      <c r="H15" s="45">
        <v>796</v>
      </c>
      <c r="I15" s="45">
        <v>1091843880</v>
      </c>
      <c r="J15" s="45">
        <f t="shared" si="2"/>
        <v>1319802.508792497</v>
      </c>
      <c r="K15" s="45">
        <v>853</v>
      </c>
      <c r="L15" s="46">
        <v>1125791540</v>
      </c>
      <c r="M15" s="182"/>
      <c r="N15" s="155"/>
      <c r="O15" s="44" t="s">
        <v>80</v>
      </c>
      <c r="P15" s="45">
        <f t="shared" si="7"/>
        <v>16698.770644331606</v>
      </c>
      <c r="Q15" s="45">
        <v>16282.92</v>
      </c>
      <c r="R15" s="45">
        <f t="shared" si="22"/>
        <v>3262856958</v>
      </c>
      <c r="S15" s="45">
        <f t="shared" si="9"/>
        <v>17857.535043886073</v>
      </c>
      <c r="T15" s="45">
        <v>7054.25</v>
      </c>
      <c r="U15" s="45">
        <v>1511658199</v>
      </c>
      <c r="V15" s="81">
        <f t="shared" si="10"/>
        <v>15813.02938740541</v>
      </c>
      <c r="W15" s="45">
        <v>9228.67</v>
      </c>
      <c r="X15" s="46">
        <v>1751198759</v>
      </c>
      <c r="Y15" s="182"/>
      <c r="Z15" s="155"/>
      <c r="AA15" s="44" t="s">
        <v>80</v>
      </c>
      <c r="AB15" s="45">
        <f t="shared" si="11"/>
        <v>114061.44715447155</v>
      </c>
      <c r="AC15" s="45">
        <f t="shared" si="18"/>
        <v>246</v>
      </c>
      <c r="AD15" s="45">
        <f t="shared" si="18"/>
        <v>28059116</v>
      </c>
      <c r="AE15" s="45">
        <f t="shared" si="12"/>
        <v>138371.7327586207</v>
      </c>
      <c r="AF15" s="45">
        <v>116</v>
      </c>
      <c r="AG15" s="45">
        <v>16051121</v>
      </c>
      <c r="AH15" s="45">
        <f t="shared" si="13"/>
        <v>92369.192307692312</v>
      </c>
      <c r="AI15" s="45">
        <v>130</v>
      </c>
      <c r="AJ15" s="46">
        <v>12007995</v>
      </c>
      <c r="AK15" s="182"/>
      <c r="AL15" s="155"/>
      <c r="AM15" s="44" t="s">
        <v>80</v>
      </c>
      <c r="AN15" s="45">
        <f t="shared" si="14"/>
        <v>845463.84507042251</v>
      </c>
      <c r="AO15" s="45">
        <f t="shared" si="19"/>
        <v>71</v>
      </c>
      <c r="AP15" s="45">
        <f t="shared" si="19"/>
        <v>60027933</v>
      </c>
      <c r="AQ15" s="45">
        <f t="shared" si="15"/>
        <v>979416.91666666663</v>
      </c>
      <c r="AR15" s="45">
        <v>36</v>
      </c>
      <c r="AS15" s="45">
        <v>35259009</v>
      </c>
      <c r="AT15" s="45">
        <f t="shared" si="16"/>
        <v>707683.54285714286</v>
      </c>
      <c r="AU15" s="45">
        <v>35</v>
      </c>
      <c r="AV15" s="46">
        <v>24768924</v>
      </c>
    </row>
    <row r="16" spans="1:48" ht="24" customHeight="1">
      <c r="A16" s="182"/>
      <c r="B16" s="155"/>
      <c r="C16" s="44" t="s">
        <v>81</v>
      </c>
      <c r="D16" s="45">
        <f t="shared" si="0"/>
        <v>1312940.5374647886</v>
      </c>
      <c r="E16" s="45">
        <f t="shared" si="17"/>
        <v>3550</v>
      </c>
      <c r="F16" s="45">
        <f t="shared" si="17"/>
        <v>4660938908</v>
      </c>
      <c r="G16" s="45">
        <f t="shared" si="6"/>
        <v>1330908.6869080779</v>
      </c>
      <c r="H16" s="45">
        <v>1795</v>
      </c>
      <c r="I16" s="45">
        <v>2388981093</v>
      </c>
      <c r="J16" s="45">
        <f t="shared" si="2"/>
        <v>1294562.8575498576</v>
      </c>
      <c r="K16" s="45">
        <v>1755</v>
      </c>
      <c r="L16" s="46">
        <v>2271957815</v>
      </c>
      <c r="M16" s="182"/>
      <c r="N16" s="155"/>
      <c r="O16" s="44" t="s">
        <v>81</v>
      </c>
      <c r="P16" s="45">
        <f t="shared" si="7"/>
        <v>15479.761953533742</v>
      </c>
      <c r="Q16" s="45">
        <v>37590</v>
      </c>
      <c r="R16" s="45">
        <f t="shared" si="22"/>
        <v>6982611022</v>
      </c>
      <c r="S16" s="45">
        <f t="shared" si="9"/>
        <v>16592.990294010062</v>
      </c>
      <c r="T16" s="45">
        <v>17924.669999999998</v>
      </c>
      <c r="U16" s="45">
        <v>3569086504</v>
      </c>
      <c r="V16" s="81">
        <f t="shared" si="10"/>
        <v>14465.070075101714</v>
      </c>
      <c r="W16" s="45">
        <v>19665.330000000002</v>
      </c>
      <c r="X16" s="46">
        <v>3413524518</v>
      </c>
      <c r="Y16" s="182"/>
      <c r="Z16" s="155"/>
      <c r="AA16" s="44" t="s">
        <v>81</v>
      </c>
      <c r="AB16" s="45">
        <f t="shared" si="11"/>
        <v>106393.20663811563</v>
      </c>
      <c r="AC16" s="45">
        <f t="shared" si="18"/>
        <v>934</v>
      </c>
      <c r="AD16" s="45">
        <f t="shared" si="18"/>
        <v>99371255</v>
      </c>
      <c r="AE16" s="45">
        <f t="shared" si="12"/>
        <v>132009.19506726458</v>
      </c>
      <c r="AF16" s="45">
        <v>446</v>
      </c>
      <c r="AG16" s="45">
        <v>58876101</v>
      </c>
      <c r="AH16" s="45">
        <f t="shared" si="13"/>
        <v>82981.87295081967</v>
      </c>
      <c r="AI16" s="45">
        <v>488</v>
      </c>
      <c r="AJ16" s="46">
        <v>40495154</v>
      </c>
      <c r="AK16" s="182"/>
      <c r="AL16" s="155"/>
      <c r="AM16" s="44" t="s">
        <v>81</v>
      </c>
      <c r="AN16" s="45">
        <f t="shared" si="14"/>
        <v>781386.77173913049</v>
      </c>
      <c r="AO16" s="45">
        <f t="shared" si="19"/>
        <v>184</v>
      </c>
      <c r="AP16" s="45">
        <f t="shared" si="19"/>
        <v>143775166</v>
      </c>
      <c r="AQ16" s="45">
        <f t="shared" si="15"/>
        <v>828952.66666666663</v>
      </c>
      <c r="AR16" s="45">
        <v>114</v>
      </c>
      <c r="AS16" s="45">
        <v>94500604</v>
      </c>
      <c r="AT16" s="45">
        <f t="shared" si="16"/>
        <v>703922.3142857143</v>
      </c>
      <c r="AU16" s="45">
        <v>70</v>
      </c>
      <c r="AV16" s="46">
        <v>49274562</v>
      </c>
    </row>
    <row r="17" spans="1:48" ht="24" customHeight="1">
      <c r="A17" s="182"/>
      <c r="B17" s="155"/>
      <c r="C17" s="44" t="s">
        <v>82</v>
      </c>
      <c r="D17" s="45">
        <f t="shared" si="0"/>
        <v>1340051.4367213114</v>
      </c>
      <c r="E17" s="45">
        <f t="shared" si="17"/>
        <v>1525</v>
      </c>
      <c r="F17" s="45">
        <f t="shared" si="17"/>
        <v>2043578441</v>
      </c>
      <c r="G17" s="45">
        <f t="shared" si="6"/>
        <v>1338030.7875354108</v>
      </c>
      <c r="H17" s="45">
        <v>706</v>
      </c>
      <c r="I17" s="45">
        <v>944649736</v>
      </c>
      <c r="J17" s="45">
        <f t="shared" si="2"/>
        <v>1341793.2905982905</v>
      </c>
      <c r="K17" s="45">
        <v>819</v>
      </c>
      <c r="L17" s="46">
        <v>1098928705</v>
      </c>
      <c r="M17" s="182"/>
      <c r="N17" s="155"/>
      <c r="O17" s="44" t="s">
        <v>82</v>
      </c>
      <c r="P17" s="45">
        <f t="shared" si="7"/>
        <v>16564.415825498687</v>
      </c>
      <c r="Q17" s="45">
        <v>18658.580000000002</v>
      </c>
      <c r="R17" s="45">
        <f t="shared" si="22"/>
        <v>3708821734</v>
      </c>
      <c r="S17" s="45">
        <f t="shared" si="9"/>
        <v>17350.515054043208</v>
      </c>
      <c r="T17" s="45">
        <v>7417.83</v>
      </c>
      <c r="U17" s="45">
        <v>1544438053</v>
      </c>
      <c r="V17" s="81">
        <f t="shared" si="10"/>
        <v>16045.664813290927</v>
      </c>
      <c r="W17" s="45">
        <v>11240.75</v>
      </c>
      <c r="X17" s="46">
        <v>2164383681</v>
      </c>
      <c r="Y17" s="182"/>
      <c r="Z17" s="155"/>
      <c r="AA17" s="44" t="s">
        <v>82</v>
      </c>
      <c r="AB17" s="45">
        <f t="shared" si="11"/>
        <v>107699.60743801652</v>
      </c>
      <c r="AC17" s="45">
        <f t="shared" si="18"/>
        <v>242</v>
      </c>
      <c r="AD17" s="45">
        <f t="shared" si="18"/>
        <v>26063305</v>
      </c>
      <c r="AE17" s="45">
        <f t="shared" si="12"/>
        <v>124775.0625</v>
      </c>
      <c r="AF17" s="45">
        <v>128</v>
      </c>
      <c r="AG17" s="45">
        <v>15971208</v>
      </c>
      <c r="AH17" s="45">
        <f t="shared" si="13"/>
        <v>88527.166666666672</v>
      </c>
      <c r="AI17" s="45">
        <v>114</v>
      </c>
      <c r="AJ17" s="46">
        <v>10092097</v>
      </c>
      <c r="AK17" s="182"/>
      <c r="AL17" s="155"/>
      <c r="AM17" s="44" t="s">
        <v>82</v>
      </c>
      <c r="AN17" s="45">
        <f t="shared" si="14"/>
        <v>917000.24719101121</v>
      </c>
      <c r="AO17" s="45">
        <f t="shared" si="19"/>
        <v>89</v>
      </c>
      <c r="AP17" s="45">
        <f t="shared" si="19"/>
        <v>81613022</v>
      </c>
      <c r="AQ17" s="45">
        <f t="shared" si="15"/>
        <v>927981.25</v>
      </c>
      <c r="AR17" s="45">
        <v>52</v>
      </c>
      <c r="AS17" s="45">
        <v>48255025</v>
      </c>
      <c r="AT17" s="45">
        <f t="shared" si="16"/>
        <v>901567.48648648651</v>
      </c>
      <c r="AU17" s="45">
        <v>37</v>
      </c>
      <c r="AV17" s="46">
        <v>33357997</v>
      </c>
    </row>
    <row r="18" spans="1:48" ht="24" customHeight="1">
      <c r="A18" s="182"/>
      <c r="B18" s="155"/>
      <c r="C18" s="44" t="s">
        <v>83</v>
      </c>
      <c r="D18" s="45">
        <f t="shared" si="0"/>
        <v>1310181.3686481304</v>
      </c>
      <c r="E18" s="45">
        <f t="shared" si="17"/>
        <v>2086</v>
      </c>
      <c r="F18" s="45">
        <f t="shared" si="17"/>
        <v>2733038335</v>
      </c>
      <c r="G18" s="45">
        <f t="shared" si="6"/>
        <v>1269593.8542094456</v>
      </c>
      <c r="H18" s="45">
        <v>974</v>
      </c>
      <c r="I18" s="45">
        <v>1236584414</v>
      </c>
      <c r="J18" s="45">
        <f t="shared" si="2"/>
        <v>1345731.9433453237</v>
      </c>
      <c r="K18" s="45">
        <v>1112</v>
      </c>
      <c r="L18" s="46">
        <v>1496453921</v>
      </c>
      <c r="M18" s="182"/>
      <c r="N18" s="155"/>
      <c r="O18" s="44" t="s">
        <v>83</v>
      </c>
      <c r="P18" s="45">
        <f t="shared" si="7"/>
        <v>15678.109015014239</v>
      </c>
      <c r="Q18" s="45">
        <v>23178</v>
      </c>
      <c r="R18" s="45">
        <f t="shared" si="22"/>
        <v>4360646529</v>
      </c>
      <c r="S18" s="45">
        <f t="shared" si="9"/>
        <v>16697.981348400466</v>
      </c>
      <c r="T18" s="45">
        <v>9744.83</v>
      </c>
      <c r="U18" s="45">
        <v>1952627875</v>
      </c>
      <c r="V18" s="81">
        <f t="shared" si="10"/>
        <v>14938.262611629769</v>
      </c>
      <c r="W18" s="45">
        <v>13433.17</v>
      </c>
      <c r="X18" s="46">
        <v>2408018654</v>
      </c>
      <c r="Y18" s="182"/>
      <c r="Z18" s="155"/>
      <c r="AA18" s="44" t="s">
        <v>83</v>
      </c>
      <c r="AB18" s="45">
        <f t="shared" si="11"/>
        <v>111401.12720848057</v>
      </c>
      <c r="AC18" s="45">
        <f t="shared" si="18"/>
        <v>283</v>
      </c>
      <c r="AD18" s="45">
        <f t="shared" si="18"/>
        <v>31526519</v>
      </c>
      <c r="AE18" s="45">
        <f t="shared" si="12"/>
        <v>125736.80985915494</v>
      </c>
      <c r="AF18" s="45">
        <v>142</v>
      </c>
      <c r="AG18" s="45">
        <v>17854627</v>
      </c>
      <c r="AH18" s="45">
        <f t="shared" si="13"/>
        <v>96963.773049645388</v>
      </c>
      <c r="AI18" s="45">
        <v>141</v>
      </c>
      <c r="AJ18" s="46">
        <v>13671892</v>
      </c>
      <c r="AK18" s="182"/>
      <c r="AL18" s="155"/>
      <c r="AM18" s="44" t="s">
        <v>83</v>
      </c>
      <c r="AN18" s="45">
        <f t="shared" si="14"/>
        <v>729984.0757575758</v>
      </c>
      <c r="AO18" s="45">
        <f t="shared" si="19"/>
        <v>132</v>
      </c>
      <c r="AP18" s="45">
        <f t="shared" si="19"/>
        <v>96357898</v>
      </c>
      <c r="AQ18" s="45">
        <f t="shared" si="15"/>
        <v>787538.40845070418</v>
      </c>
      <c r="AR18" s="45">
        <v>71</v>
      </c>
      <c r="AS18" s="45">
        <v>55915227</v>
      </c>
      <c r="AT18" s="45">
        <f t="shared" si="16"/>
        <v>662994.60655737703</v>
      </c>
      <c r="AU18" s="45">
        <v>61</v>
      </c>
      <c r="AV18" s="46">
        <v>40442671</v>
      </c>
    </row>
    <row r="19" spans="1:48" ht="24" customHeight="1">
      <c r="A19" s="182"/>
      <c r="B19" s="155"/>
      <c r="C19" s="44" t="s">
        <v>84</v>
      </c>
      <c r="D19" s="45">
        <f t="shared" si="0"/>
        <v>1234884.3184019371</v>
      </c>
      <c r="E19" s="45">
        <f t="shared" si="17"/>
        <v>826</v>
      </c>
      <c r="F19" s="45">
        <f t="shared" si="17"/>
        <v>1020014447</v>
      </c>
      <c r="G19" s="45">
        <f t="shared" si="6"/>
        <v>1274544.8651685393</v>
      </c>
      <c r="H19" s="45">
        <v>445</v>
      </c>
      <c r="I19" s="45">
        <v>567172465</v>
      </c>
      <c r="J19" s="45">
        <f t="shared" si="2"/>
        <v>1188561.6325459317</v>
      </c>
      <c r="K19" s="45">
        <v>381</v>
      </c>
      <c r="L19" s="46">
        <v>452841982</v>
      </c>
      <c r="M19" s="182"/>
      <c r="N19" s="155"/>
      <c r="O19" s="44" t="s">
        <v>84</v>
      </c>
      <c r="P19" s="45">
        <f t="shared" si="7"/>
        <v>15881.688038841827</v>
      </c>
      <c r="Q19" s="45">
        <v>7851.33</v>
      </c>
      <c r="R19" s="45">
        <f t="shared" si="22"/>
        <v>1496308485</v>
      </c>
      <c r="S19" s="45">
        <f t="shared" si="9"/>
        <v>17096.652288335641</v>
      </c>
      <c r="T19" s="45">
        <v>3675.67</v>
      </c>
      <c r="U19" s="45">
        <v>754099823</v>
      </c>
      <c r="V19" s="81">
        <f t="shared" si="10"/>
        <v>14812.167109310203</v>
      </c>
      <c r="W19" s="45">
        <v>4175.67</v>
      </c>
      <c r="X19" s="46">
        <v>742208662</v>
      </c>
      <c r="Y19" s="182"/>
      <c r="Z19" s="155"/>
      <c r="AA19" s="44" t="s">
        <v>84</v>
      </c>
      <c r="AB19" s="45">
        <f t="shared" si="11"/>
        <v>95946.141509433961</v>
      </c>
      <c r="AC19" s="45">
        <f t="shared" si="18"/>
        <v>212</v>
      </c>
      <c r="AD19" s="45">
        <f t="shared" si="18"/>
        <v>20340582</v>
      </c>
      <c r="AE19" s="45">
        <f t="shared" si="12"/>
        <v>115780.13513513513</v>
      </c>
      <c r="AF19" s="45">
        <v>111</v>
      </c>
      <c r="AG19" s="45">
        <v>12851595</v>
      </c>
      <c r="AH19" s="45">
        <f t="shared" si="13"/>
        <v>74148.38613861386</v>
      </c>
      <c r="AI19" s="45">
        <v>101</v>
      </c>
      <c r="AJ19" s="46">
        <v>7488987</v>
      </c>
      <c r="AK19" s="182"/>
      <c r="AL19" s="155"/>
      <c r="AM19" s="44" t="s">
        <v>84</v>
      </c>
      <c r="AN19" s="45">
        <f t="shared" si="14"/>
        <v>621447.07499999995</v>
      </c>
      <c r="AO19" s="45">
        <f t="shared" si="19"/>
        <v>40</v>
      </c>
      <c r="AP19" s="45">
        <f t="shared" si="19"/>
        <v>24857883</v>
      </c>
      <c r="AQ19" s="45">
        <f t="shared" si="15"/>
        <v>639626.82608695654</v>
      </c>
      <c r="AR19" s="45">
        <v>23</v>
      </c>
      <c r="AS19" s="45">
        <v>14711417</v>
      </c>
      <c r="AT19" s="45">
        <f t="shared" si="16"/>
        <v>596850.9411764706</v>
      </c>
      <c r="AU19" s="45">
        <v>17</v>
      </c>
      <c r="AV19" s="46">
        <v>10146466</v>
      </c>
    </row>
    <row r="20" spans="1:48" ht="24" customHeight="1">
      <c r="A20" s="182"/>
      <c r="B20" s="155"/>
      <c r="C20" s="44" t="s">
        <v>85</v>
      </c>
      <c r="D20" s="45">
        <f t="shared" si="0"/>
        <v>1160632.0035559067</v>
      </c>
      <c r="E20" s="45">
        <f t="shared" si="17"/>
        <v>2531</v>
      </c>
      <c r="F20" s="45">
        <f t="shared" si="17"/>
        <v>2937559601</v>
      </c>
      <c r="G20" s="45">
        <f t="shared" si="6"/>
        <v>1176386.8914664458</v>
      </c>
      <c r="H20" s="45">
        <v>1207</v>
      </c>
      <c r="I20" s="45">
        <v>1419898978</v>
      </c>
      <c r="J20" s="45">
        <f t="shared" si="2"/>
        <v>1146269.3527190331</v>
      </c>
      <c r="K20" s="45">
        <v>1324</v>
      </c>
      <c r="L20" s="46">
        <v>1517660623</v>
      </c>
      <c r="M20" s="182"/>
      <c r="N20" s="155"/>
      <c r="O20" s="44" t="s">
        <v>85</v>
      </c>
      <c r="P20" s="45">
        <f t="shared" si="7"/>
        <v>15348.410540096642</v>
      </c>
      <c r="Q20" s="45">
        <v>21575.83</v>
      </c>
      <c r="R20" s="45">
        <f t="shared" si="22"/>
        <v>3973856359</v>
      </c>
      <c r="S20" s="45">
        <f t="shared" si="9"/>
        <v>16303.894212530875</v>
      </c>
      <c r="T20" s="45">
        <v>9059.17</v>
      </c>
      <c r="U20" s="45">
        <v>1772396992</v>
      </c>
      <c r="V20" s="81">
        <f t="shared" si="10"/>
        <v>14656.849405632647</v>
      </c>
      <c r="W20" s="45">
        <v>12516.67</v>
      </c>
      <c r="X20" s="46">
        <v>2201459367</v>
      </c>
      <c r="Y20" s="182"/>
      <c r="Z20" s="155"/>
      <c r="AA20" s="44" t="s">
        <v>85</v>
      </c>
      <c r="AB20" s="45">
        <f t="shared" si="11"/>
        <v>104769.05172413793</v>
      </c>
      <c r="AC20" s="45">
        <f t="shared" si="18"/>
        <v>522</v>
      </c>
      <c r="AD20" s="45">
        <f t="shared" si="18"/>
        <v>54689445</v>
      </c>
      <c r="AE20" s="45">
        <f t="shared" si="12"/>
        <v>132154.53469387756</v>
      </c>
      <c r="AF20" s="45">
        <v>245</v>
      </c>
      <c r="AG20" s="45">
        <v>32377861</v>
      </c>
      <c r="AH20" s="45">
        <f t="shared" si="13"/>
        <v>80547.234657039706</v>
      </c>
      <c r="AI20" s="45">
        <v>277</v>
      </c>
      <c r="AJ20" s="46">
        <v>22311584</v>
      </c>
      <c r="AK20" s="182"/>
      <c r="AL20" s="155"/>
      <c r="AM20" s="44" t="s">
        <v>85</v>
      </c>
      <c r="AN20" s="45">
        <f t="shared" si="14"/>
        <v>830569.41322314052</v>
      </c>
      <c r="AO20" s="45">
        <f t="shared" si="19"/>
        <v>121</v>
      </c>
      <c r="AP20" s="45">
        <f t="shared" si="19"/>
        <v>100498899</v>
      </c>
      <c r="AQ20" s="45">
        <f t="shared" si="15"/>
        <v>831891.21428571432</v>
      </c>
      <c r="AR20" s="45">
        <v>70</v>
      </c>
      <c r="AS20" s="45">
        <v>58232385</v>
      </c>
      <c r="AT20" s="45">
        <f t="shared" si="16"/>
        <v>828755.17647058819</v>
      </c>
      <c r="AU20" s="45">
        <v>51</v>
      </c>
      <c r="AV20" s="46">
        <v>42266514</v>
      </c>
    </row>
    <row r="21" spans="1:48" ht="24" customHeight="1">
      <c r="A21" s="182"/>
      <c r="B21" s="155"/>
      <c r="C21" s="44" t="s">
        <v>86</v>
      </c>
      <c r="D21" s="45">
        <f t="shared" si="0"/>
        <v>1023822.2013651878</v>
      </c>
      <c r="E21" s="45">
        <f t="shared" si="17"/>
        <v>586</v>
      </c>
      <c r="F21" s="45">
        <f t="shared" si="17"/>
        <v>599959810</v>
      </c>
      <c r="G21" s="45">
        <f t="shared" si="6"/>
        <v>1068619.367003367</v>
      </c>
      <c r="H21" s="45">
        <v>297</v>
      </c>
      <c r="I21" s="45">
        <v>317379952</v>
      </c>
      <c r="J21" s="45">
        <f t="shared" si="2"/>
        <v>977784.97577854677</v>
      </c>
      <c r="K21" s="45">
        <v>289</v>
      </c>
      <c r="L21" s="46">
        <v>282579858</v>
      </c>
      <c r="M21" s="182"/>
      <c r="N21" s="155"/>
      <c r="O21" s="44" t="s">
        <v>86</v>
      </c>
      <c r="P21" s="45">
        <f t="shared" si="7"/>
        <v>15646.71832573851</v>
      </c>
      <c r="Q21" s="45">
        <v>5372.08</v>
      </c>
      <c r="R21" s="45">
        <f t="shared" si="22"/>
        <v>1008665071</v>
      </c>
      <c r="S21" s="45">
        <f t="shared" si="9"/>
        <v>16793.777607225173</v>
      </c>
      <c r="T21" s="45">
        <v>2130.33</v>
      </c>
      <c r="U21" s="45">
        <v>429315459</v>
      </c>
      <c r="V21" s="81">
        <f t="shared" si="10"/>
        <v>14892.92336957919</v>
      </c>
      <c r="W21" s="45">
        <v>3241.75</v>
      </c>
      <c r="X21" s="46">
        <v>579349612</v>
      </c>
      <c r="Y21" s="182"/>
      <c r="Z21" s="155"/>
      <c r="AA21" s="44" t="s">
        <v>86</v>
      </c>
      <c r="AB21" s="45">
        <f t="shared" si="11"/>
        <v>109918.27564102564</v>
      </c>
      <c r="AC21" s="45">
        <f t="shared" si="18"/>
        <v>156</v>
      </c>
      <c r="AD21" s="45">
        <f t="shared" si="18"/>
        <v>17147251</v>
      </c>
      <c r="AE21" s="45">
        <f t="shared" si="12"/>
        <v>130327.92941176471</v>
      </c>
      <c r="AF21" s="45">
        <v>85</v>
      </c>
      <c r="AG21" s="45">
        <v>11077874</v>
      </c>
      <c r="AH21" s="45">
        <f t="shared" si="13"/>
        <v>85484.183098591544</v>
      </c>
      <c r="AI21" s="45">
        <v>71</v>
      </c>
      <c r="AJ21" s="46">
        <v>6069377</v>
      </c>
      <c r="AK21" s="182"/>
      <c r="AL21" s="155"/>
      <c r="AM21" s="44" t="s">
        <v>86</v>
      </c>
      <c r="AN21" s="45">
        <f t="shared" si="14"/>
        <v>676643.94594594592</v>
      </c>
      <c r="AO21" s="45">
        <f t="shared" si="19"/>
        <v>37</v>
      </c>
      <c r="AP21" s="45">
        <f t="shared" si="19"/>
        <v>25035826</v>
      </c>
      <c r="AQ21" s="45">
        <f t="shared" si="15"/>
        <v>761553.90909090906</v>
      </c>
      <c r="AR21" s="45">
        <v>22</v>
      </c>
      <c r="AS21" s="45">
        <v>16754186</v>
      </c>
      <c r="AT21" s="45">
        <f t="shared" si="16"/>
        <v>552109.33333333337</v>
      </c>
      <c r="AU21" s="45">
        <v>15</v>
      </c>
      <c r="AV21" s="46">
        <v>8281640</v>
      </c>
    </row>
    <row r="22" spans="1:48" ht="24" customHeight="1">
      <c r="A22" s="182"/>
      <c r="B22" s="155"/>
      <c r="C22" s="44" t="s">
        <v>87</v>
      </c>
      <c r="D22" s="45">
        <f t="shared" si="0"/>
        <v>1234625.7670954638</v>
      </c>
      <c r="E22" s="45">
        <f t="shared" si="17"/>
        <v>1477</v>
      </c>
      <c r="F22" s="45">
        <f t="shared" si="17"/>
        <v>1823542258</v>
      </c>
      <c r="G22" s="45">
        <f t="shared" si="6"/>
        <v>1229482.0134952767</v>
      </c>
      <c r="H22" s="45">
        <v>741</v>
      </c>
      <c r="I22" s="45">
        <v>911046172</v>
      </c>
      <c r="J22" s="45">
        <f t="shared" si="2"/>
        <v>1239804.4646739131</v>
      </c>
      <c r="K22" s="45">
        <v>736</v>
      </c>
      <c r="L22" s="46">
        <v>912496086</v>
      </c>
      <c r="M22" s="182"/>
      <c r="N22" s="155"/>
      <c r="O22" s="44" t="s">
        <v>87</v>
      </c>
      <c r="P22" s="45">
        <f t="shared" si="7"/>
        <v>17246.246058375469</v>
      </c>
      <c r="Q22" s="45">
        <v>12639.67</v>
      </c>
      <c r="R22" s="45">
        <f t="shared" si="22"/>
        <v>2615842307</v>
      </c>
      <c r="S22" s="45">
        <f t="shared" si="9"/>
        <v>18585.955983164877</v>
      </c>
      <c r="T22" s="45">
        <v>5018.08</v>
      </c>
      <c r="U22" s="45">
        <v>1119189768</v>
      </c>
      <c r="V22" s="81">
        <f t="shared" si="10"/>
        <v>16364.198094970685</v>
      </c>
      <c r="W22" s="45">
        <v>7621.58</v>
      </c>
      <c r="X22" s="46">
        <v>1496652539</v>
      </c>
      <c r="Y22" s="182"/>
      <c r="Z22" s="155"/>
      <c r="AA22" s="44" t="s">
        <v>87</v>
      </c>
      <c r="AB22" s="45">
        <f t="shared" si="11"/>
        <v>113473.90588235293</v>
      </c>
      <c r="AC22" s="45">
        <f t="shared" si="18"/>
        <v>255</v>
      </c>
      <c r="AD22" s="45">
        <f t="shared" si="18"/>
        <v>28935846</v>
      </c>
      <c r="AE22" s="45">
        <f t="shared" si="12"/>
        <v>130869.81428571428</v>
      </c>
      <c r="AF22" s="45">
        <v>140</v>
      </c>
      <c r="AG22" s="45">
        <v>18321774</v>
      </c>
      <c r="AH22" s="45">
        <f t="shared" si="13"/>
        <v>92296.278260869571</v>
      </c>
      <c r="AI22" s="45">
        <v>115</v>
      </c>
      <c r="AJ22" s="46">
        <v>10614072</v>
      </c>
      <c r="AK22" s="182"/>
      <c r="AL22" s="155"/>
      <c r="AM22" s="44" t="s">
        <v>87</v>
      </c>
      <c r="AN22" s="45">
        <f t="shared" si="14"/>
        <v>813518.98507462686</v>
      </c>
      <c r="AO22" s="45">
        <f t="shared" si="19"/>
        <v>67</v>
      </c>
      <c r="AP22" s="45">
        <f t="shared" si="19"/>
        <v>54505772</v>
      </c>
      <c r="AQ22" s="45">
        <f t="shared" si="15"/>
        <v>752324.5</v>
      </c>
      <c r="AR22" s="45">
        <v>36</v>
      </c>
      <c r="AS22" s="45">
        <v>27083682</v>
      </c>
      <c r="AT22" s="45">
        <f t="shared" si="16"/>
        <v>884583.54838709673</v>
      </c>
      <c r="AU22" s="45">
        <v>31</v>
      </c>
      <c r="AV22" s="46">
        <v>27422090</v>
      </c>
    </row>
    <row r="23" spans="1:48" ht="24" customHeight="1">
      <c r="A23" s="182"/>
      <c r="B23" s="155"/>
      <c r="C23" s="44" t="s">
        <v>88</v>
      </c>
      <c r="D23" s="45">
        <f t="shared" si="0"/>
        <v>1299306.0279503106</v>
      </c>
      <c r="E23" s="45">
        <f t="shared" si="17"/>
        <v>322</v>
      </c>
      <c r="F23" s="45">
        <f t="shared" si="17"/>
        <v>418376541</v>
      </c>
      <c r="G23" s="45">
        <f t="shared" si="6"/>
        <v>1341259</v>
      </c>
      <c r="H23" s="45">
        <v>169</v>
      </c>
      <c r="I23" s="45">
        <v>226672771</v>
      </c>
      <c r="J23" s="45">
        <f t="shared" si="2"/>
        <v>1252965.816993464</v>
      </c>
      <c r="K23" s="45">
        <v>153</v>
      </c>
      <c r="L23" s="46">
        <v>191703770</v>
      </c>
      <c r="M23" s="182"/>
      <c r="N23" s="155"/>
      <c r="O23" s="44" t="s">
        <v>88</v>
      </c>
      <c r="P23" s="45">
        <f t="shared" si="7"/>
        <v>16291.429387382095</v>
      </c>
      <c r="Q23" s="45">
        <v>2553.25</v>
      </c>
      <c r="R23" s="45">
        <f t="shared" si="22"/>
        <v>499153105</v>
      </c>
      <c r="S23" s="45">
        <f t="shared" si="9"/>
        <v>17411.652036276522</v>
      </c>
      <c r="T23" s="45">
        <v>974</v>
      </c>
      <c r="U23" s="45">
        <v>203507389</v>
      </c>
      <c r="V23" s="81">
        <f t="shared" si="10"/>
        <v>15600.533797688777</v>
      </c>
      <c r="W23" s="45">
        <v>1579.25</v>
      </c>
      <c r="X23" s="46">
        <v>295645716</v>
      </c>
      <c r="Y23" s="182"/>
      <c r="Z23" s="155"/>
      <c r="AA23" s="44" t="s">
        <v>88</v>
      </c>
      <c r="AB23" s="45">
        <f t="shared" si="11"/>
        <v>67882.769230769234</v>
      </c>
      <c r="AC23" s="45">
        <f t="shared" si="18"/>
        <v>26</v>
      </c>
      <c r="AD23" s="45">
        <f t="shared" si="18"/>
        <v>1764952</v>
      </c>
      <c r="AE23" s="45">
        <f t="shared" si="12"/>
        <v>74768.227272727279</v>
      </c>
      <c r="AF23" s="45">
        <v>22</v>
      </c>
      <c r="AG23" s="45">
        <v>1644901</v>
      </c>
      <c r="AH23" s="45">
        <f t="shared" si="13"/>
        <v>30012.75</v>
      </c>
      <c r="AI23" s="45">
        <v>4</v>
      </c>
      <c r="AJ23" s="46">
        <v>120051</v>
      </c>
      <c r="AK23" s="182"/>
      <c r="AL23" s="155"/>
      <c r="AM23" s="44" t="s">
        <v>88</v>
      </c>
      <c r="AN23" s="45">
        <f t="shared" si="14"/>
        <v>673552.16666666663</v>
      </c>
      <c r="AO23" s="45">
        <f t="shared" si="19"/>
        <v>12</v>
      </c>
      <c r="AP23" s="45">
        <f t="shared" si="19"/>
        <v>8082626</v>
      </c>
      <c r="AQ23" s="45">
        <f t="shared" si="15"/>
        <v>652811.80000000005</v>
      </c>
      <c r="AR23" s="45">
        <v>10</v>
      </c>
      <c r="AS23" s="45">
        <v>6528118</v>
      </c>
      <c r="AT23" s="45">
        <f t="shared" si="16"/>
        <v>777254</v>
      </c>
      <c r="AU23" s="45">
        <v>2</v>
      </c>
      <c r="AV23" s="46">
        <v>1554508</v>
      </c>
    </row>
    <row r="24" spans="1:48" ht="24" customHeight="1">
      <c r="A24" s="182"/>
      <c r="B24" s="155"/>
      <c r="C24" s="44" t="s">
        <v>89</v>
      </c>
      <c r="D24" s="45">
        <f t="shared" si="0"/>
        <v>1493008.1622992393</v>
      </c>
      <c r="E24" s="45">
        <f t="shared" si="17"/>
        <v>2366</v>
      </c>
      <c r="F24" s="45">
        <f t="shared" si="17"/>
        <v>3532457312</v>
      </c>
      <c r="G24" s="45">
        <f t="shared" si="6"/>
        <v>1427958.6739130435</v>
      </c>
      <c r="H24" s="45">
        <v>1058</v>
      </c>
      <c r="I24" s="45">
        <v>1510780277</v>
      </c>
      <c r="J24" s="45">
        <f t="shared" si="2"/>
        <v>1545624.6444954129</v>
      </c>
      <c r="K24" s="45">
        <v>1308</v>
      </c>
      <c r="L24" s="46">
        <v>2021677035</v>
      </c>
      <c r="M24" s="182"/>
      <c r="N24" s="155"/>
      <c r="O24" s="44" t="s">
        <v>89</v>
      </c>
      <c r="P24" s="45">
        <f t="shared" si="7"/>
        <v>18485.875185157045</v>
      </c>
      <c r="Q24" s="45">
        <v>19213.419999999998</v>
      </c>
      <c r="R24" s="45">
        <f t="shared" si="22"/>
        <v>4262122608</v>
      </c>
      <c r="S24" s="45">
        <f t="shared" si="9"/>
        <v>19344.589608489969</v>
      </c>
      <c r="T24" s="45">
        <v>7141.92</v>
      </c>
      <c r="U24" s="45">
        <v>1657890137</v>
      </c>
      <c r="V24" s="81">
        <f t="shared" si="10"/>
        <v>17977.829812644108</v>
      </c>
      <c r="W24" s="45">
        <v>12071.5</v>
      </c>
      <c r="X24" s="46">
        <v>2604232471</v>
      </c>
      <c r="Y24" s="182"/>
      <c r="Z24" s="155"/>
      <c r="AA24" s="44" t="s">
        <v>89</v>
      </c>
      <c r="AB24" s="45">
        <f t="shared" si="11"/>
        <v>112455.71008403362</v>
      </c>
      <c r="AC24" s="45">
        <f t="shared" si="18"/>
        <v>238</v>
      </c>
      <c r="AD24" s="45">
        <f t="shared" si="18"/>
        <v>26764459</v>
      </c>
      <c r="AE24" s="45">
        <f t="shared" si="12"/>
        <v>125108.75912408759</v>
      </c>
      <c r="AF24" s="45">
        <v>137</v>
      </c>
      <c r="AG24" s="45">
        <v>17139900</v>
      </c>
      <c r="AH24" s="45">
        <f t="shared" si="13"/>
        <v>95292.663366336637</v>
      </c>
      <c r="AI24" s="45">
        <v>101</v>
      </c>
      <c r="AJ24" s="46">
        <v>9624559</v>
      </c>
      <c r="AK24" s="182"/>
      <c r="AL24" s="155"/>
      <c r="AM24" s="44" t="s">
        <v>89</v>
      </c>
      <c r="AN24" s="45">
        <f t="shared" si="14"/>
        <v>970882.70652173914</v>
      </c>
      <c r="AO24" s="45">
        <f t="shared" si="19"/>
        <v>92</v>
      </c>
      <c r="AP24" s="45">
        <f t="shared" si="19"/>
        <v>89321209</v>
      </c>
      <c r="AQ24" s="45">
        <f t="shared" si="15"/>
        <v>976798.48936170212</v>
      </c>
      <c r="AR24" s="45">
        <v>47</v>
      </c>
      <c r="AS24" s="45">
        <v>45909529</v>
      </c>
      <c r="AT24" s="45">
        <f t="shared" si="16"/>
        <v>964704</v>
      </c>
      <c r="AU24" s="45">
        <v>45</v>
      </c>
      <c r="AV24" s="46">
        <v>43411680</v>
      </c>
    </row>
    <row r="25" spans="1:48" ht="24" customHeight="1">
      <c r="A25" s="182"/>
      <c r="B25" s="155"/>
      <c r="C25" s="44" t="s">
        <v>90</v>
      </c>
      <c r="D25" s="45">
        <f t="shared" si="0"/>
        <v>1395200.3996033713</v>
      </c>
      <c r="E25" s="45">
        <f t="shared" si="17"/>
        <v>2017</v>
      </c>
      <c r="F25" s="45">
        <f t="shared" si="17"/>
        <v>2814119206</v>
      </c>
      <c r="G25" s="45">
        <f t="shared" si="6"/>
        <v>1391151.051557465</v>
      </c>
      <c r="H25" s="45">
        <v>931</v>
      </c>
      <c r="I25" s="45">
        <v>1295161629</v>
      </c>
      <c r="J25" s="45">
        <f t="shared" si="2"/>
        <v>1398671.8020257826</v>
      </c>
      <c r="K25" s="45">
        <v>1086</v>
      </c>
      <c r="L25" s="46">
        <v>1518957577</v>
      </c>
      <c r="M25" s="182"/>
      <c r="N25" s="155"/>
      <c r="O25" s="44" t="s">
        <v>90</v>
      </c>
      <c r="P25" s="45">
        <f t="shared" si="7"/>
        <v>16922.504791414558</v>
      </c>
      <c r="Q25" s="45">
        <v>15155.58</v>
      </c>
      <c r="R25" s="45">
        <f t="shared" si="22"/>
        <v>3077644502</v>
      </c>
      <c r="S25" s="45">
        <f t="shared" si="9"/>
        <v>17756.345062655055</v>
      </c>
      <c r="T25" s="45">
        <v>6947.83</v>
      </c>
      <c r="U25" s="45">
        <v>1480416803</v>
      </c>
      <c r="V25" s="81">
        <f t="shared" si="10"/>
        <v>16216.662087661052</v>
      </c>
      <c r="W25" s="45">
        <v>8207.75</v>
      </c>
      <c r="X25" s="46">
        <v>1597227699</v>
      </c>
      <c r="Y25" s="182"/>
      <c r="Z25" s="155"/>
      <c r="AA25" s="44" t="s">
        <v>90</v>
      </c>
      <c r="AB25" s="45">
        <f t="shared" si="11"/>
        <v>122741.78073089701</v>
      </c>
      <c r="AC25" s="45">
        <f t="shared" si="18"/>
        <v>301</v>
      </c>
      <c r="AD25" s="45">
        <f t="shared" si="18"/>
        <v>36945276</v>
      </c>
      <c r="AE25" s="45">
        <f t="shared" si="12"/>
        <v>146237.07284768211</v>
      </c>
      <c r="AF25" s="45">
        <v>151</v>
      </c>
      <c r="AG25" s="45">
        <v>22081798</v>
      </c>
      <c r="AH25" s="45">
        <f t="shared" si="13"/>
        <v>99089.853333333333</v>
      </c>
      <c r="AI25" s="45">
        <v>150</v>
      </c>
      <c r="AJ25" s="46">
        <v>14863478</v>
      </c>
      <c r="AK25" s="182"/>
      <c r="AL25" s="155"/>
      <c r="AM25" s="44" t="s">
        <v>90</v>
      </c>
      <c r="AN25" s="45">
        <f t="shared" si="14"/>
        <v>797968.88059701491</v>
      </c>
      <c r="AO25" s="45">
        <f t="shared" si="19"/>
        <v>67</v>
      </c>
      <c r="AP25" s="45">
        <f t="shared" si="19"/>
        <v>53463915</v>
      </c>
      <c r="AQ25" s="45">
        <f t="shared" si="15"/>
        <v>847839.76315789472</v>
      </c>
      <c r="AR25" s="45">
        <v>38</v>
      </c>
      <c r="AS25" s="45">
        <v>32217911</v>
      </c>
      <c r="AT25" s="45">
        <f t="shared" si="16"/>
        <v>732620.82758620684</v>
      </c>
      <c r="AU25" s="45">
        <v>29</v>
      </c>
      <c r="AV25" s="46">
        <v>21246004</v>
      </c>
    </row>
    <row r="26" spans="1:48" ht="24" customHeight="1">
      <c r="A26" s="182"/>
      <c r="B26" s="155"/>
      <c r="C26" s="44" t="s">
        <v>91</v>
      </c>
      <c r="D26" s="45">
        <f t="shared" si="0"/>
        <v>1363831.0350109409</v>
      </c>
      <c r="E26" s="45">
        <f t="shared" si="17"/>
        <v>1371</v>
      </c>
      <c r="F26" s="45">
        <f t="shared" si="17"/>
        <v>1869812349</v>
      </c>
      <c r="G26" s="45">
        <f t="shared" si="6"/>
        <v>1355453.1217008797</v>
      </c>
      <c r="H26" s="45">
        <v>682</v>
      </c>
      <c r="I26" s="45">
        <v>924419029</v>
      </c>
      <c r="J26" s="45">
        <f t="shared" si="2"/>
        <v>1372123.831640058</v>
      </c>
      <c r="K26" s="45">
        <v>689</v>
      </c>
      <c r="L26" s="46">
        <v>945393320</v>
      </c>
      <c r="M26" s="182"/>
      <c r="N26" s="155"/>
      <c r="O26" s="44" t="s">
        <v>91</v>
      </c>
      <c r="P26" s="45">
        <f t="shared" si="7"/>
        <v>16469.089376638196</v>
      </c>
      <c r="Q26" s="45">
        <v>15682.92</v>
      </c>
      <c r="R26" s="45">
        <f t="shared" si="22"/>
        <v>3099400934</v>
      </c>
      <c r="S26" s="45">
        <f t="shared" si="9"/>
        <v>17269.649723548784</v>
      </c>
      <c r="T26" s="45">
        <v>6778.17</v>
      </c>
      <c r="U26" s="45">
        <v>1404679460</v>
      </c>
      <c r="V26" s="81">
        <f t="shared" si="10"/>
        <v>15859.714141329066</v>
      </c>
      <c r="W26" s="45">
        <v>8904.75</v>
      </c>
      <c r="X26" s="46">
        <v>1694721474</v>
      </c>
      <c r="Y26" s="182"/>
      <c r="Z26" s="155"/>
      <c r="AA26" s="44" t="s">
        <v>91</v>
      </c>
      <c r="AB26" s="45">
        <f t="shared" si="11"/>
        <v>98941.75389408099</v>
      </c>
      <c r="AC26" s="45">
        <f t="shared" si="18"/>
        <v>321</v>
      </c>
      <c r="AD26" s="45">
        <f t="shared" si="18"/>
        <v>31760303</v>
      </c>
      <c r="AE26" s="45">
        <f t="shared" si="12"/>
        <v>119187.27564102564</v>
      </c>
      <c r="AF26" s="45">
        <v>156</v>
      </c>
      <c r="AG26" s="45">
        <v>18593215</v>
      </c>
      <c r="AH26" s="45">
        <f t="shared" si="13"/>
        <v>79800.53333333334</v>
      </c>
      <c r="AI26" s="45">
        <v>165</v>
      </c>
      <c r="AJ26" s="46">
        <v>13167088</v>
      </c>
      <c r="AK26" s="182"/>
      <c r="AL26" s="155"/>
      <c r="AM26" s="44" t="s">
        <v>91</v>
      </c>
      <c r="AN26" s="45">
        <f t="shared" si="14"/>
        <v>871712.47126436781</v>
      </c>
      <c r="AO26" s="45">
        <f t="shared" si="19"/>
        <v>87</v>
      </c>
      <c r="AP26" s="45">
        <f t="shared" si="19"/>
        <v>75838985</v>
      </c>
      <c r="AQ26" s="45">
        <f t="shared" si="15"/>
        <v>1001165.8478260869</v>
      </c>
      <c r="AR26" s="45">
        <v>46</v>
      </c>
      <c r="AS26" s="45">
        <v>46053629</v>
      </c>
      <c r="AT26" s="45">
        <f t="shared" si="16"/>
        <v>726472.09756097558</v>
      </c>
      <c r="AU26" s="45">
        <v>41</v>
      </c>
      <c r="AV26" s="46">
        <v>29785356</v>
      </c>
    </row>
    <row r="27" spans="1:48" ht="24" customHeight="1">
      <c r="A27" s="182"/>
      <c r="B27" s="155"/>
      <c r="C27" s="44" t="s">
        <v>92</v>
      </c>
      <c r="D27" s="45">
        <f t="shared" si="0"/>
        <v>1145297.0085470085</v>
      </c>
      <c r="E27" s="45">
        <f t="shared" si="17"/>
        <v>117</v>
      </c>
      <c r="F27" s="45">
        <f t="shared" si="17"/>
        <v>133999750</v>
      </c>
      <c r="G27" s="45">
        <f t="shared" si="6"/>
        <v>1309308.3970588236</v>
      </c>
      <c r="H27" s="45">
        <v>68</v>
      </c>
      <c r="I27" s="45">
        <v>89032971</v>
      </c>
      <c r="J27" s="45">
        <f t="shared" si="2"/>
        <v>917689.36734693882</v>
      </c>
      <c r="K27" s="45">
        <v>49</v>
      </c>
      <c r="L27" s="46">
        <v>44966779</v>
      </c>
      <c r="M27" s="182"/>
      <c r="N27" s="155"/>
      <c r="O27" s="44" t="s">
        <v>92</v>
      </c>
      <c r="P27" s="45">
        <f t="shared" si="7"/>
        <v>17827.124569747561</v>
      </c>
      <c r="Q27" s="45">
        <v>1339.33</v>
      </c>
      <c r="R27" s="45">
        <f t="shared" si="22"/>
        <v>286516833</v>
      </c>
      <c r="S27" s="45">
        <f t="shared" si="9"/>
        <v>20927.222298806999</v>
      </c>
      <c r="T27" s="45">
        <v>580.33000000000004</v>
      </c>
      <c r="U27" s="45">
        <v>145736339</v>
      </c>
      <c r="V27" s="81">
        <f t="shared" si="10"/>
        <v>15456.795564339043</v>
      </c>
      <c r="W27" s="45">
        <v>759</v>
      </c>
      <c r="X27" s="46">
        <v>140780494</v>
      </c>
      <c r="Y27" s="182"/>
      <c r="Z27" s="155"/>
      <c r="AA27" s="44" t="s">
        <v>92</v>
      </c>
      <c r="AB27" s="45">
        <f t="shared" si="11"/>
        <v>110314.16666666667</v>
      </c>
      <c r="AC27" s="45">
        <f t="shared" si="18"/>
        <v>18</v>
      </c>
      <c r="AD27" s="45">
        <f t="shared" si="18"/>
        <v>1985655</v>
      </c>
      <c r="AE27" s="45">
        <f t="shared" si="12"/>
        <v>119303.07692307692</v>
      </c>
      <c r="AF27" s="45">
        <v>13</v>
      </c>
      <c r="AG27" s="45">
        <v>1550940</v>
      </c>
      <c r="AH27" s="45">
        <f t="shared" si="13"/>
        <v>86943</v>
      </c>
      <c r="AI27" s="45">
        <v>5</v>
      </c>
      <c r="AJ27" s="46">
        <v>434715</v>
      </c>
      <c r="AK27" s="182"/>
      <c r="AL27" s="155"/>
      <c r="AM27" s="44" t="s">
        <v>92</v>
      </c>
      <c r="AN27" s="45">
        <f t="shared" si="14"/>
        <v>924241.27272727271</v>
      </c>
      <c r="AO27" s="45">
        <f t="shared" si="19"/>
        <v>11</v>
      </c>
      <c r="AP27" s="45">
        <f t="shared" si="19"/>
        <v>10166654</v>
      </c>
      <c r="AQ27" s="45">
        <f t="shared" si="15"/>
        <v>866775.85714285716</v>
      </c>
      <c r="AR27" s="45">
        <v>7</v>
      </c>
      <c r="AS27" s="45">
        <v>6067431</v>
      </c>
      <c r="AT27" s="45">
        <f t="shared" si="16"/>
        <v>1024805.75</v>
      </c>
      <c r="AU27" s="45">
        <v>4</v>
      </c>
      <c r="AV27" s="46">
        <v>4099223</v>
      </c>
    </row>
    <row r="28" spans="1:48" ht="24" customHeight="1">
      <c r="A28" s="183"/>
      <c r="B28" s="156"/>
      <c r="C28" s="44" t="s">
        <v>93</v>
      </c>
      <c r="D28" s="45">
        <f t="shared" si="0"/>
        <v>528199.61538461538</v>
      </c>
      <c r="E28" s="45">
        <f t="shared" si="17"/>
        <v>13</v>
      </c>
      <c r="F28" s="45">
        <f t="shared" si="17"/>
        <v>6866595</v>
      </c>
      <c r="G28" s="45">
        <f t="shared" si="6"/>
        <v>745171.85714285716</v>
      </c>
      <c r="H28" s="45">
        <v>7</v>
      </c>
      <c r="I28" s="45">
        <v>5216203</v>
      </c>
      <c r="J28" s="45">
        <f t="shared" si="2"/>
        <v>275065.33333333331</v>
      </c>
      <c r="K28" s="45">
        <v>6</v>
      </c>
      <c r="L28" s="46">
        <v>1650392</v>
      </c>
      <c r="M28" s="183"/>
      <c r="N28" s="156"/>
      <c r="O28" s="44" t="s">
        <v>93</v>
      </c>
      <c r="P28" s="45">
        <f t="shared" si="7"/>
        <v>16150.825168897863</v>
      </c>
      <c r="Q28" s="45">
        <v>267.42</v>
      </c>
      <c r="R28" s="45">
        <f t="shared" si="22"/>
        <v>51828644</v>
      </c>
      <c r="S28" s="45">
        <f t="shared" si="9"/>
        <v>17752.669597182594</v>
      </c>
      <c r="T28" s="45">
        <v>129.66999999999999</v>
      </c>
      <c r="U28" s="45">
        <v>27623864</v>
      </c>
      <c r="V28" s="81">
        <f t="shared" si="10"/>
        <v>14642.940108892923</v>
      </c>
      <c r="W28" s="45">
        <v>137.75</v>
      </c>
      <c r="X28" s="46">
        <v>24204780</v>
      </c>
      <c r="Y28" s="183"/>
      <c r="Z28" s="156"/>
      <c r="AA28" s="44" t="s">
        <v>93</v>
      </c>
      <c r="AB28" s="45">
        <f t="shared" si="11"/>
        <v>158808.66666666666</v>
      </c>
      <c r="AC28" s="45">
        <f t="shared" si="18"/>
        <v>3</v>
      </c>
      <c r="AD28" s="45">
        <f t="shared" si="18"/>
        <v>476426</v>
      </c>
      <c r="AE28" s="45">
        <f t="shared" si="12"/>
        <v>139633</v>
      </c>
      <c r="AF28" s="45">
        <v>2</v>
      </c>
      <c r="AG28" s="45">
        <v>279266</v>
      </c>
      <c r="AH28" s="45">
        <f t="shared" si="13"/>
        <v>197160</v>
      </c>
      <c r="AI28" s="45">
        <v>1</v>
      </c>
      <c r="AJ28" s="46">
        <v>197160</v>
      </c>
      <c r="AK28" s="183"/>
      <c r="AL28" s="156"/>
      <c r="AM28" s="44" t="s">
        <v>93</v>
      </c>
      <c r="AN28" s="45">
        <f t="shared" si="14"/>
        <v>988090.5</v>
      </c>
      <c r="AO28" s="45">
        <f t="shared" si="19"/>
        <v>2</v>
      </c>
      <c r="AP28" s="45">
        <f t="shared" si="19"/>
        <v>1976181</v>
      </c>
      <c r="AQ28" s="45">
        <f t="shared" si="15"/>
        <v>988090.5</v>
      </c>
      <c r="AR28" s="45">
        <v>2</v>
      </c>
      <c r="AS28" s="45">
        <v>1976181</v>
      </c>
      <c r="AT28" s="45">
        <v>0</v>
      </c>
      <c r="AU28" s="45">
        <v>0</v>
      </c>
      <c r="AV28" s="46">
        <v>0</v>
      </c>
    </row>
    <row r="29" spans="1:48" ht="28.9" customHeight="1">
      <c r="A29" s="176" t="s">
        <v>145</v>
      </c>
      <c r="B29" s="161" t="s">
        <v>63</v>
      </c>
      <c r="C29" s="41" t="s">
        <v>76</v>
      </c>
      <c r="D29" s="42">
        <f t="shared" si="0"/>
        <v>1304764.8012608895</v>
      </c>
      <c r="E29" s="42">
        <f>SUM(E30:E38)</f>
        <v>87240</v>
      </c>
      <c r="F29" s="42">
        <f>SUM(F30:F38)</f>
        <v>113827681262</v>
      </c>
      <c r="G29" s="42">
        <f t="shared" si="6"/>
        <v>1311583.5820645376</v>
      </c>
      <c r="H29" s="42">
        <f>SUM(H30:H38)</f>
        <v>42363</v>
      </c>
      <c r="I29" s="42">
        <f>SUM(I30:I38)</f>
        <v>55562615287</v>
      </c>
      <c r="J29" s="42">
        <f t="shared" si="2"/>
        <v>1298328.0071083184</v>
      </c>
      <c r="K29" s="42">
        <f>SUM(K30:K38)</f>
        <v>44877</v>
      </c>
      <c r="L29" s="43">
        <f>SUM(L30:L38)</f>
        <v>58265065975</v>
      </c>
      <c r="M29" s="176" t="s">
        <v>146</v>
      </c>
      <c r="N29" s="161" t="s">
        <v>63</v>
      </c>
      <c r="O29" s="41" t="s">
        <v>76</v>
      </c>
      <c r="P29" s="42">
        <f>R29/Q29/12</f>
        <v>16411.956925189348</v>
      </c>
      <c r="Q29" s="42">
        <v>815080</v>
      </c>
      <c r="R29" s="42">
        <f>SUM(R30:R38)</f>
        <v>160524694207</v>
      </c>
      <c r="S29" s="42">
        <f>U29/T29/12</f>
        <v>17527.425941077185</v>
      </c>
      <c r="T29" s="42">
        <v>371891.83</v>
      </c>
      <c r="U29" s="42">
        <f>SUM(U30:U38)</f>
        <v>78219678101</v>
      </c>
      <c r="V29" s="42">
        <f>X29/W29/12</f>
        <v>15475.935068769248</v>
      </c>
      <c r="W29" s="42">
        <v>443188.17</v>
      </c>
      <c r="X29" s="43">
        <f>SUM(X30:X38)</f>
        <v>82305016106</v>
      </c>
      <c r="Y29" s="176" t="s">
        <v>150</v>
      </c>
      <c r="Z29" s="161" t="s">
        <v>63</v>
      </c>
      <c r="AA29" s="41" t="s">
        <v>76</v>
      </c>
      <c r="AB29" s="42">
        <f t="shared" si="11"/>
        <v>112131.29750202136</v>
      </c>
      <c r="AC29" s="42">
        <f>SUM(AC30:AC38)</f>
        <v>23499</v>
      </c>
      <c r="AD29" s="42">
        <f>SUM(AD30:AD38)</f>
        <v>2634973360</v>
      </c>
      <c r="AE29" s="42">
        <f t="shared" si="12"/>
        <v>134960.15328273913</v>
      </c>
      <c r="AF29" s="42">
        <f>SUM(AF30:AF38)</f>
        <v>11332</v>
      </c>
      <c r="AG29" s="42">
        <f>SUM(AG30:AG38)</f>
        <v>1529368457</v>
      </c>
      <c r="AH29" s="42">
        <f t="shared" si="13"/>
        <v>90869.146297361716</v>
      </c>
      <c r="AI29" s="42">
        <f>SUM(AI30:AI38)</f>
        <v>12167</v>
      </c>
      <c r="AJ29" s="43">
        <f>SUM(AJ30:AJ38)</f>
        <v>1105604903</v>
      </c>
      <c r="AK29" s="176" t="s">
        <v>152</v>
      </c>
      <c r="AL29" s="161" t="s">
        <v>63</v>
      </c>
      <c r="AM29" s="41" t="s">
        <v>76</v>
      </c>
      <c r="AN29" s="42">
        <f t="shared" si="14"/>
        <v>835981.6203898841</v>
      </c>
      <c r="AO29" s="42">
        <f>SUM(AO30:AO38)</f>
        <v>3796</v>
      </c>
      <c r="AP29" s="42">
        <f>SUM(AP30:AP38)</f>
        <v>3173386231</v>
      </c>
      <c r="AQ29" s="42">
        <f t="shared" si="15"/>
        <v>870075.22833622189</v>
      </c>
      <c r="AR29" s="42">
        <f>SUM(AR30:AR38)</f>
        <v>2308</v>
      </c>
      <c r="AS29" s="42">
        <f>SUM(AS30:AS38)</f>
        <v>2008133627</v>
      </c>
      <c r="AT29" s="42">
        <f t="shared" si="16"/>
        <v>783099.8682795699</v>
      </c>
      <c r="AU29" s="42">
        <f>SUM(AU30:AU38)</f>
        <v>1488</v>
      </c>
      <c r="AV29" s="43">
        <f>SUM(AV30:AV38)</f>
        <v>1165252604</v>
      </c>
    </row>
    <row r="30" spans="1:48" ht="28.9" customHeight="1">
      <c r="A30" s="177"/>
      <c r="B30" s="162"/>
      <c r="C30" s="51" t="s">
        <v>137</v>
      </c>
      <c r="D30" s="45">
        <v>0</v>
      </c>
      <c r="E30" s="45">
        <f t="shared" ref="E30:F38" si="23">H30+K30</f>
        <v>0</v>
      </c>
      <c r="F30" s="45">
        <f t="shared" si="23"/>
        <v>0</v>
      </c>
      <c r="G30" s="45">
        <v>0</v>
      </c>
      <c r="H30" s="45">
        <v>0</v>
      </c>
      <c r="I30" s="45">
        <v>0</v>
      </c>
      <c r="J30" s="45">
        <v>0</v>
      </c>
      <c r="K30" s="45">
        <v>0</v>
      </c>
      <c r="L30" s="46">
        <v>0</v>
      </c>
      <c r="M30" s="177"/>
      <c r="N30" s="162"/>
      <c r="O30" s="51" t="s">
        <v>137</v>
      </c>
      <c r="P30" s="45">
        <v>0</v>
      </c>
      <c r="Q30" s="45">
        <v>0</v>
      </c>
      <c r="R30" s="45">
        <f t="shared" ref="R30:R38" si="24">U30+X30</f>
        <v>0</v>
      </c>
      <c r="S30" s="45">
        <v>0</v>
      </c>
      <c r="T30" s="45">
        <v>0</v>
      </c>
      <c r="U30" s="45">
        <v>0</v>
      </c>
      <c r="V30" s="45">
        <v>0</v>
      </c>
      <c r="W30" s="45">
        <v>0</v>
      </c>
      <c r="X30" s="46">
        <v>0</v>
      </c>
      <c r="Y30" s="177"/>
      <c r="Z30" s="162"/>
      <c r="AA30" s="51" t="s">
        <v>137</v>
      </c>
      <c r="AB30" s="45">
        <v>0</v>
      </c>
      <c r="AC30" s="45">
        <f t="shared" ref="AC30:AD38" si="25">AF30+AI30</f>
        <v>0</v>
      </c>
      <c r="AD30" s="45">
        <f t="shared" si="25"/>
        <v>0</v>
      </c>
      <c r="AE30" s="45">
        <v>0</v>
      </c>
      <c r="AF30" s="45">
        <v>0</v>
      </c>
      <c r="AG30" s="45">
        <v>0</v>
      </c>
      <c r="AH30" s="45">
        <v>0</v>
      </c>
      <c r="AI30" s="45">
        <v>0</v>
      </c>
      <c r="AJ30" s="46">
        <v>0</v>
      </c>
      <c r="AK30" s="177"/>
      <c r="AL30" s="162"/>
      <c r="AM30" s="51" t="s">
        <v>137</v>
      </c>
      <c r="AN30" s="45">
        <v>0</v>
      </c>
      <c r="AO30" s="45">
        <f t="shared" ref="AO30:AP38" si="26">AR30+AU30</f>
        <v>0</v>
      </c>
      <c r="AP30" s="45">
        <f t="shared" si="26"/>
        <v>0</v>
      </c>
      <c r="AQ30" s="45">
        <v>0</v>
      </c>
      <c r="AR30" s="45">
        <v>0</v>
      </c>
      <c r="AS30" s="45">
        <v>0</v>
      </c>
      <c r="AT30" s="45">
        <v>0</v>
      </c>
      <c r="AU30" s="45">
        <v>0</v>
      </c>
      <c r="AV30" s="46">
        <v>0</v>
      </c>
    </row>
    <row r="31" spans="1:48" ht="28.9" customHeight="1">
      <c r="A31" s="177"/>
      <c r="B31" s="162"/>
      <c r="C31" s="44" t="s">
        <v>112</v>
      </c>
      <c r="D31" s="45">
        <f t="shared" si="0"/>
        <v>864621.66666666663</v>
      </c>
      <c r="E31" s="45">
        <f t="shared" si="23"/>
        <v>3</v>
      </c>
      <c r="F31" s="45">
        <f t="shared" si="23"/>
        <v>2593865</v>
      </c>
      <c r="G31" s="45">
        <f t="shared" ref="G31" si="27">I31/H31</f>
        <v>39460</v>
      </c>
      <c r="H31" s="45">
        <v>1</v>
      </c>
      <c r="I31" s="45">
        <v>39460</v>
      </c>
      <c r="J31" s="45">
        <f t="shared" si="2"/>
        <v>1277202.5</v>
      </c>
      <c r="K31" s="45">
        <v>2</v>
      </c>
      <c r="L31" s="46">
        <v>2554405</v>
      </c>
      <c r="M31" s="177"/>
      <c r="N31" s="162"/>
      <c r="O31" s="44" t="s">
        <v>112</v>
      </c>
      <c r="P31" s="45">
        <v>0</v>
      </c>
      <c r="Q31" s="45">
        <v>0</v>
      </c>
      <c r="R31" s="45">
        <f t="shared" si="24"/>
        <v>0</v>
      </c>
      <c r="S31" s="45">
        <v>0</v>
      </c>
      <c r="T31" s="45">
        <v>0</v>
      </c>
      <c r="U31" s="45">
        <v>0</v>
      </c>
      <c r="V31" s="45">
        <v>0</v>
      </c>
      <c r="W31" s="45">
        <v>0</v>
      </c>
      <c r="X31" s="46">
        <v>0</v>
      </c>
      <c r="Y31" s="177"/>
      <c r="Z31" s="162"/>
      <c r="AA31" s="44" t="s">
        <v>112</v>
      </c>
      <c r="AB31" s="45">
        <v>0</v>
      </c>
      <c r="AC31" s="45">
        <f t="shared" si="25"/>
        <v>0</v>
      </c>
      <c r="AD31" s="45">
        <f t="shared" si="25"/>
        <v>0</v>
      </c>
      <c r="AE31" s="45">
        <v>0</v>
      </c>
      <c r="AF31" s="45">
        <v>0</v>
      </c>
      <c r="AG31" s="45">
        <v>0</v>
      </c>
      <c r="AH31" s="45">
        <v>0</v>
      </c>
      <c r="AI31" s="45">
        <v>0</v>
      </c>
      <c r="AJ31" s="46">
        <v>0</v>
      </c>
      <c r="AK31" s="177"/>
      <c r="AL31" s="162"/>
      <c r="AM31" s="44" t="s">
        <v>112</v>
      </c>
      <c r="AN31" s="45">
        <v>0</v>
      </c>
      <c r="AO31" s="45">
        <f t="shared" si="26"/>
        <v>0</v>
      </c>
      <c r="AP31" s="45">
        <f t="shared" si="26"/>
        <v>0</v>
      </c>
      <c r="AQ31" s="45">
        <v>0</v>
      </c>
      <c r="AR31" s="45">
        <v>0</v>
      </c>
      <c r="AS31" s="45">
        <v>0</v>
      </c>
      <c r="AT31" s="45">
        <v>0</v>
      </c>
      <c r="AU31" s="45">
        <v>0</v>
      </c>
      <c r="AV31" s="46">
        <v>0</v>
      </c>
    </row>
    <row r="32" spans="1:48" ht="28.9" customHeight="1">
      <c r="A32" s="177"/>
      <c r="B32" s="162"/>
      <c r="C32" s="44" t="s">
        <v>113</v>
      </c>
      <c r="D32" s="45">
        <f t="shared" si="0"/>
        <v>1246272.7515337423</v>
      </c>
      <c r="E32" s="45">
        <f t="shared" si="23"/>
        <v>652</v>
      </c>
      <c r="F32" s="45">
        <f t="shared" si="23"/>
        <v>812569834</v>
      </c>
      <c r="G32" s="45">
        <f t="shared" si="6"/>
        <v>1204642.6960352424</v>
      </c>
      <c r="H32" s="45">
        <v>227</v>
      </c>
      <c r="I32" s="45">
        <v>273453892</v>
      </c>
      <c r="J32" s="45">
        <f t="shared" si="2"/>
        <v>1268508.0988235294</v>
      </c>
      <c r="K32" s="45">
        <v>425</v>
      </c>
      <c r="L32" s="46">
        <v>539115942</v>
      </c>
      <c r="M32" s="177"/>
      <c r="N32" s="162"/>
      <c r="O32" s="44" t="s">
        <v>113</v>
      </c>
      <c r="P32" s="45">
        <v>0</v>
      </c>
      <c r="Q32" s="45">
        <v>0</v>
      </c>
      <c r="R32" s="45">
        <f t="shared" si="24"/>
        <v>0</v>
      </c>
      <c r="S32" s="45">
        <v>0</v>
      </c>
      <c r="T32" s="45">
        <v>0</v>
      </c>
      <c r="U32" s="45">
        <v>0</v>
      </c>
      <c r="V32" s="45">
        <v>0</v>
      </c>
      <c r="W32" s="45">
        <v>0</v>
      </c>
      <c r="X32" s="46">
        <v>0</v>
      </c>
      <c r="Y32" s="177"/>
      <c r="Z32" s="162"/>
      <c r="AA32" s="44" t="s">
        <v>113</v>
      </c>
      <c r="AB32" s="45">
        <v>0</v>
      </c>
      <c r="AC32" s="45">
        <f t="shared" si="25"/>
        <v>0</v>
      </c>
      <c r="AD32" s="45">
        <f t="shared" si="25"/>
        <v>0</v>
      </c>
      <c r="AE32" s="45">
        <v>0</v>
      </c>
      <c r="AF32" s="45">
        <v>0</v>
      </c>
      <c r="AG32" s="45">
        <v>0</v>
      </c>
      <c r="AH32" s="45">
        <v>0</v>
      </c>
      <c r="AI32" s="45">
        <v>0</v>
      </c>
      <c r="AJ32" s="46">
        <v>0</v>
      </c>
      <c r="AK32" s="177"/>
      <c r="AL32" s="162"/>
      <c r="AM32" s="44" t="s">
        <v>113</v>
      </c>
      <c r="AN32" s="45">
        <v>0</v>
      </c>
      <c r="AO32" s="45">
        <f t="shared" si="26"/>
        <v>0</v>
      </c>
      <c r="AP32" s="45">
        <f t="shared" si="26"/>
        <v>0</v>
      </c>
      <c r="AQ32" s="45">
        <v>0</v>
      </c>
      <c r="AR32" s="45">
        <v>0</v>
      </c>
      <c r="AS32" s="45">
        <v>0</v>
      </c>
      <c r="AT32" s="45">
        <v>0</v>
      </c>
      <c r="AU32" s="45">
        <v>0</v>
      </c>
      <c r="AV32" s="46">
        <v>0</v>
      </c>
    </row>
    <row r="33" spans="1:48" ht="28.9" customHeight="1">
      <c r="A33" s="177"/>
      <c r="B33" s="162"/>
      <c r="C33" s="44" t="s">
        <v>114</v>
      </c>
      <c r="D33" s="45">
        <f t="shared" si="0"/>
        <v>1548219.3117767188</v>
      </c>
      <c r="E33" s="45">
        <f t="shared" si="23"/>
        <v>4407</v>
      </c>
      <c r="F33" s="45">
        <f t="shared" si="23"/>
        <v>6823002507</v>
      </c>
      <c r="G33" s="45">
        <f t="shared" si="6"/>
        <v>1522109.4558907228</v>
      </c>
      <c r="H33" s="45">
        <v>1757</v>
      </c>
      <c r="I33" s="45">
        <v>2674346314</v>
      </c>
      <c r="J33" s="45">
        <f t="shared" si="2"/>
        <v>1565530.6388679245</v>
      </c>
      <c r="K33" s="45">
        <v>2650</v>
      </c>
      <c r="L33" s="46">
        <v>4148656193</v>
      </c>
      <c r="M33" s="177"/>
      <c r="N33" s="162"/>
      <c r="O33" s="44" t="s">
        <v>114</v>
      </c>
      <c r="P33" s="45">
        <v>0</v>
      </c>
      <c r="Q33" s="45">
        <v>0</v>
      </c>
      <c r="R33" s="45">
        <f t="shared" si="24"/>
        <v>0</v>
      </c>
      <c r="S33" s="45">
        <v>0</v>
      </c>
      <c r="T33" s="45">
        <v>0</v>
      </c>
      <c r="U33" s="45">
        <v>0</v>
      </c>
      <c r="V33" s="45">
        <v>0</v>
      </c>
      <c r="W33" s="45">
        <v>0</v>
      </c>
      <c r="X33" s="46">
        <v>0</v>
      </c>
      <c r="Y33" s="177"/>
      <c r="Z33" s="162"/>
      <c r="AA33" s="44" t="s">
        <v>114</v>
      </c>
      <c r="AB33" s="45">
        <v>0</v>
      </c>
      <c r="AC33" s="45">
        <f t="shared" si="25"/>
        <v>0</v>
      </c>
      <c r="AD33" s="45">
        <f t="shared" si="25"/>
        <v>0</v>
      </c>
      <c r="AE33" s="45">
        <v>0</v>
      </c>
      <c r="AF33" s="45">
        <v>0</v>
      </c>
      <c r="AG33" s="45">
        <v>0</v>
      </c>
      <c r="AH33" s="45">
        <v>0</v>
      </c>
      <c r="AI33" s="45">
        <v>0</v>
      </c>
      <c r="AJ33" s="46">
        <v>0</v>
      </c>
      <c r="AK33" s="177"/>
      <c r="AL33" s="162"/>
      <c r="AM33" s="44" t="s">
        <v>114</v>
      </c>
      <c r="AN33" s="45">
        <v>0</v>
      </c>
      <c r="AO33" s="45">
        <f t="shared" si="26"/>
        <v>0</v>
      </c>
      <c r="AP33" s="45">
        <f t="shared" si="26"/>
        <v>0</v>
      </c>
      <c r="AQ33" s="45">
        <v>0</v>
      </c>
      <c r="AR33" s="45">
        <v>0</v>
      </c>
      <c r="AS33" s="45">
        <v>0</v>
      </c>
      <c r="AT33" s="45">
        <v>0</v>
      </c>
      <c r="AU33" s="45">
        <v>0</v>
      </c>
      <c r="AV33" s="46">
        <v>0</v>
      </c>
    </row>
    <row r="34" spans="1:48" ht="28.9" customHeight="1">
      <c r="A34" s="177"/>
      <c r="B34" s="162"/>
      <c r="C34" s="44" t="s">
        <v>115</v>
      </c>
      <c r="D34" s="45">
        <f t="shared" si="0"/>
        <v>1514194.6246199443</v>
      </c>
      <c r="E34" s="45">
        <f t="shared" si="23"/>
        <v>39139</v>
      </c>
      <c r="F34" s="45">
        <f t="shared" si="23"/>
        <v>59264063413</v>
      </c>
      <c r="G34" s="45">
        <f t="shared" si="6"/>
        <v>1515047.4199453711</v>
      </c>
      <c r="H34" s="45">
        <v>17207</v>
      </c>
      <c r="I34" s="45">
        <v>26069420955</v>
      </c>
      <c r="J34" s="45">
        <f t="shared" si="2"/>
        <v>1513525.5543498085</v>
      </c>
      <c r="K34" s="45">
        <v>21932</v>
      </c>
      <c r="L34" s="46">
        <v>33194642458</v>
      </c>
      <c r="M34" s="177"/>
      <c r="N34" s="162"/>
      <c r="O34" s="44" t="s">
        <v>115</v>
      </c>
      <c r="P34" s="45">
        <v>0</v>
      </c>
      <c r="Q34" s="45">
        <v>0</v>
      </c>
      <c r="R34" s="45">
        <f t="shared" si="24"/>
        <v>0</v>
      </c>
      <c r="S34" s="45">
        <v>0</v>
      </c>
      <c r="T34" s="45">
        <v>0</v>
      </c>
      <c r="U34" s="45">
        <v>0</v>
      </c>
      <c r="V34" s="45">
        <v>0</v>
      </c>
      <c r="W34" s="45">
        <v>0</v>
      </c>
      <c r="X34" s="46">
        <v>0</v>
      </c>
      <c r="Y34" s="177"/>
      <c r="Z34" s="162"/>
      <c r="AA34" s="44" t="s">
        <v>115</v>
      </c>
      <c r="AB34" s="45">
        <v>0</v>
      </c>
      <c r="AC34" s="45">
        <f t="shared" si="25"/>
        <v>0</v>
      </c>
      <c r="AD34" s="45">
        <f t="shared" si="25"/>
        <v>0</v>
      </c>
      <c r="AE34" s="45">
        <v>0</v>
      </c>
      <c r="AF34" s="45">
        <v>0</v>
      </c>
      <c r="AG34" s="45">
        <v>0</v>
      </c>
      <c r="AH34" s="45">
        <v>0</v>
      </c>
      <c r="AI34" s="45">
        <v>0</v>
      </c>
      <c r="AJ34" s="46">
        <v>0</v>
      </c>
      <c r="AK34" s="177"/>
      <c r="AL34" s="162"/>
      <c r="AM34" s="44" t="s">
        <v>115</v>
      </c>
      <c r="AN34" s="45">
        <v>0</v>
      </c>
      <c r="AO34" s="45">
        <f t="shared" si="26"/>
        <v>0</v>
      </c>
      <c r="AP34" s="45">
        <f t="shared" si="26"/>
        <v>0</v>
      </c>
      <c r="AQ34" s="45">
        <v>0</v>
      </c>
      <c r="AR34" s="45">
        <v>0</v>
      </c>
      <c r="AS34" s="45">
        <v>0</v>
      </c>
      <c r="AT34" s="45">
        <v>0</v>
      </c>
      <c r="AU34" s="45">
        <v>0</v>
      </c>
      <c r="AV34" s="46">
        <v>0</v>
      </c>
    </row>
    <row r="35" spans="1:48" ht="28.9" customHeight="1">
      <c r="A35" s="177"/>
      <c r="B35" s="162"/>
      <c r="C35" s="44" t="s">
        <v>116</v>
      </c>
      <c r="D35" s="45">
        <f t="shared" si="0"/>
        <v>1176977.4365974816</v>
      </c>
      <c r="E35" s="45">
        <f t="shared" si="23"/>
        <v>25969</v>
      </c>
      <c r="F35" s="45">
        <f t="shared" si="23"/>
        <v>30564927051</v>
      </c>
      <c r="G35" s="45">
        <f t="shared" si="6"/>
        <v>1269886.4148341408</v>
      </c>
      <c r="H35" s="45">
        <v>13415</v>
      </c>
      <c r="I35" s="45">
        <v>17035526255</v>
      </c>
      <c r="J35" s="45">
        <f t="shared" si="2"/>
        <v>1077696.4151664807</v>
      </c>
      <c r="K35" s="45">
        <v>12554</v>
      </c>
      <c r="L35" s="46">
        <v>13529400796</v>
      </c>
      <c r="M35" s="177"/>
      <c r="N35" s="162"/>
      <c r="O35" s="44" t="s">
        <v>116</v>
      </c>
      <c r="P35" s="45">
        <f t="shared" ref="P35:P38" si="28">R35/Q35/12</f>
        <v>14842.934655662291</v>
      </c>
      <c r="Q35" s="45">
        <v>107614.17</v>
      </c>
      <c r="R35" s="45">
        <f t="shared" si="24"/>
        <v>19167721120</v>
      </c>
      <c r="S35" s="45">
        <f t="shared" ref="S35:S38" si="29">U35/T35/12</f>
        <v>15390.59240510193</v>
      </c>
      <c r="T35" s="45">
        <v>47176.67</v>
      </c>
      <c r="U35" s="45">
        <v>8712922788</v>
      </c>
      <c r="V35" s="45">
        <f t="shared" ref="V35:V38" si="30">X35/W35/12</f>
        <v>14415.440650810066</v>
      </c>
      <c r="W35" s="45">
        <v>60437.5</v>
      </c>
      <c r="X35" s="46">
        <v>10454798332</v>
      </c>
      <c r="Y35" s="177"/>
      <c r="Z35" s="162"/>
      <c r="AA35" s="44" t="s">
        <v>116</v>
      </c>
      <c r="AB35" s="45">
        <v>0</v>
      </c>
      <c r="AC35" s="45">
        <f t="shared" si="25"/>
        <v>0</v>
      </c>
      <c r="AD35" s="45">
        <f t="shared" si="25"/>
        <v>0</v>
      </c>
      <c r="AE35" s="45">
        <v>0</v>
      </c>
      <c r="AF35" s="45">
        <v>0</v>
      </c>
      <c r="AG35" s="45">
        <v>0</v>
      </c>
      <c r="AH35" s="45">
        <v>0</v>
      </c>
      <c r="AI35" s="45">
        <v>0</v>
      </c>
      <c r="AJ35" s="46">
        <v>0</v>
      </c>
      <c r="AK35" s="177"/>
      <c r="AL35" s="162"/>
      <c r="AM35" s="44" t="s">
        <v>116</v>
      </c>
      <c r="AN35" s="45">
        <f t="shared" si="14"/>
        <v>1173068.2346666667</v>
      </c>
      <c r="AO35" s="45">
        <f t="shared" si="26"/>
        <v>375</v>
      </c>
      <c r="AP35" s="45">
        <f t="shared" si="26"/>
        <v>439900588</v>
      </c>
      <c r="AQ35" s="45">
        <f t="shared" si="15"/>
        <v>1219806.52</v>
      </c>
      <c r="AR35" s="45">
        <v>225</v>
      </c>
      <c r="AS35" s="45">
        <v>274456467</v>
      </c>
      <c r="AT35" s="45">
        <f t="shared" si="16"/>
        <v>1102960.8066666666</v>
      </c>
      <c r="AU35" s="45">
        <v>150</v>
      </c>
      <c r="AV35" s="46">
        <v>165444121</v>
      </c>
    </row>
    <row r="36" spans="1:48" ht="28.9" customHeight="1">
      <c r="A36" s="177"/>
      <c r="B36" s="162"/>
      <c r="C36" s="44" t="s">
        <v>117</v>
      </c>
      <c r="D36" s="45">
        <f t="shared" si="0"/>
        <v>998124.71150579152</v>
      </c>
      <c r="E36" s="45">
        <f t="shared" si="23"/>
        <v>12950</v>
      </c>
      <c r="F36" s="45">
        <f t="shared" si="23"/>
        <v>12925715014</v>
      </c>
      <c r="G36" s="45">
        <f t="shared" si="6"/>
        <v>1030181.2048988579</v>
      </c>
      <c r="H36" s="45">
        <v>7267</v>
      </c>
      <c r="I36" s="45">
        <v>7486326816</v>
      </c>
      <c r="J36" s="45">
        <f t="shared" si="2"/>
        <v>957133.2391342601</v>
      </c>
      <c r="K36" s="45">
        <v>5683</v>
      </c>
      <c r="L36" s="46">
        <v>5439388198</v>
      </c>
      <c r="M36" s="177"/>
      <c r="N36" s="162"/>
      <c r="O36" s="44" t="s">
        <v>117</v>
      </c>
      <c r="P36" s="45">
        <f t="shared" si="28"/>
        <v>16388.830832771466</v>
      </c>
      <c r="Q36" s="45">
        <v>365967.75</v>
      </c>
      <c r="R36" s="45">
        <f t="shared" si="24"/>
        <v>71973402540</v>
      </c>
      <c r="S36" s="45">
        <f t="shared" si="29"/>
        <v>17372.133666152167</v>
      </c>
      <c r="T36" s="45">
        <v>163213.92000000001</v>
      </c>
      <c r="U36" s="45">
        <v>34024488413</v>
      </c>
      <c r="V36" s="45">
        <f t="shared" si="30"/>
        <v>15597.286179912524</v>
      </c>
      <c r="W36" s="45">
        <v>202753.83</v>
      </c>
      <c r="X36" s="46">
        <v>37948914127</v>
      </c>
      <c r="Y36" s="177"/>
      <c r="Z36" s="162"/>
      <c r="AA36" s="44" t="s">
        <v>117</v>
      </c>
      <c r="AB36" s="45">
        <f t="shared" si="11"/>
        <v>125129.23656351792</v>
      </c>
      <c r="AC36" s="45">
        <f t="shared" si="25"/>
        <v>17192</v>
      </c>
      <c r="AD36" s="45">
        <f t="shared" si="25"/>
        <v>2151221835</v>
      </c>
      <c r="AE36" s="45">
        <f t="shared" si="12"/>
        <v>152276.18098384727</v>
      </c>
      <c r="AF36" s="45">
        <v>8172</v>
      </c>
      <c r="AG36" s="45">
        <v>1244400951</v>
      </c>
      <c r="AH36" s="45">
        <f t="shared" si="13"/>
        <v>100534.46607538803</v>
      </c>
      <c r="AI36" s="45">
        <v>9020</v>
      </c>
      <c r="AJ36" s="46">
        <v>906820884</v>
      </c>
      <c r="AK36" s="177"/>
      <c r="AL36" s="162"/>
      <c r="AM36" s="44" t="s">
        <v>117</v>
      </c>
      <c r="AN36" s="45">
        <f t="shared" si="14"/>
        <v>977269.5042235218</v>
      </c>
      <c r="AO36" s="45">
        <f t="shared" si="26"/>
        <v>1539</v>
      </c>
      <c r="AP36" s="45">
        <f t="shared" si="26"/>
        <v>1504017767</v>
      </c>
      <c r="AQ36" s="45">
        <f t="shared" si="15"/>
        <v>1001261.9382716049</v>
      </c>
      <c r="AR36" s="45">
        <v>972</v>
      </c>
      <c r="AS36" s="45">
        <v>973226604</v>
      </c>
      <c r="AT36" s="45">
        <f t="shared" si="16"/>
        <v>936139.61728395056</v>
      </c>
      <c r="AU36" s="45">
        <v>567</v>
      </c>
      <c r="AV36" s="46">
        <v>530791163</v>
      </c>
    </row>
    <row r="37" spans="1:48" ht="28.9" customHeight="1">
      <c r="A37" s="178"/>
      <c r="B37" s="163"/>
      <c r="C37" s="44" t="s">
        <v>118</v>
      </c>
      <c r="D37" s="45">
        <f t="shared" si="0"/>
        <v>849563.44579560158</v>
      </c>
      <c r="E37" s="45">
        <f t="shared" si="23"/>
        <v>3865</v>
      </c>
      <c r="F37" s="45">
        <f t="shared" si="23"/>
        <v>3283562718</v>
      </c>
      <c r="G37" s="45">
        <f t="shared" si="6"/>
        <v>822850.09021276596</v>
      </c>
      <c r="H37" s="45">
        <v>2350</v>
      </c>
      <c r="I37" s="45">
        <v>1933697712</v>
      </c>
      <c r="J37" s="45">
        <f t="shared" si="2"/>
        <v>891000.00396039605</v>
      </c>
      <c r="K37" s="45">
        <v>1515</v>
      </c>
      <c r="L37" s="46">
        <v>1349865006</v>
      </c>
      <c r="M37" s="178"/>
      <c r="N37" s="163"/>
      <c r="O37" s="44" t="s">
        <v>118</v>
      </c>
      <c r="P37" s="45">
        <f t="shared" si="28"/>
        <v>17699.916805145793</v>
      </c>
      <c r="Q37" s="45">
        <v>269294.5</v>
      </c>
      <c r="R37" s="45">
        <f t="shared" si="24"/>
        <v>57197882953</v>
      </c>
      <c r="S37" s="45">
        <f t="shared" si="29"/>
        <v>19139.938974063549</v>
      </c>
      <c r="T37" s="45">
        <v>127621.42</v>
      </c>
      <c r="U37" s="45">
        <v>29311994287</v>
      </c>
      <c r="V37" s="45">
        <f t="shared" si="30"/>
        <v>16402.721360331831</v>
      </c>
      <c r="W37" s="45">
        <v>141673.07999999999</v>
      </c>
      <c r="X37" s="46">
        <v>27885888666</v>
      </c>
      <c r="Y37" s="178"/>
      <c r="Z37" s="163"/>
      <c r="AA37" s="44" t="s">
        <v>118</v>
      </c>
      <c r="AB37" s="45">
        <f t="shared" si="11"/>
        <v>82212.806246385197</v>
      </c>
      <c r="AC37" s="45">
        <f t="shared" si="25"/>
        <v>5187</v>
      </c>
      <c r="AD37" s="45">
        <f t="shared" si="25"/>
        <v>426437826</v>
      </c>
      <c r="AE37" s="45">
        <f t="shared" si="12"/>
        <v>96427.209337925757</v>
      </c>
      <c r="AF37" s="45">
        <v>2613</v>
      </c>
      <c r="AG37" s="45">
        <v>251964298</v>
      </c>
      <c r="AH37" s="45">
        <f t="shared" si="13"/>
        <v>67783.033411033408</v>
      </c>
      <c r="AI37" s="45">
        <v>2574</v>
      </c>
      <c r="AJ37" s="46">
        <v>174473528</v>
      </c>
      <c r="AK37" s="178"/>
      <c r="AL37" s="163"/>
      <c r="AM37" s="44" t="s">
        <v>118</v>
      </c>
      <c r="AN37" s="45">
        <f t="shared" si="14"/>
        <v>726371.7161654135</v>
      </c>
      <c r="AO37" s="45">
        <f t="shared" si="26"/>
        <v>1596</v>
      </c>
      <c r="AP37" s="45">
        <f t="shared" si="26"/>
        <v>1159289259</v>
      </c>
      <c r="AQ37" s="45">
        <f t="shared" si="15"/>
        <v>754354.65162644279</v>
      </c>
      <c r="AR37" s="45">
        <v>953</v>
      </c>
      <c r="AS37" s="45">
        <v>718899983</v>
      </c>
      <c r="AT37" s="45">
        <f t="shared" si="16"/>
        <v>684897.78538102645</v>
      </c>
      <c r="AU37" s="45">
        <v>643</v>
      </c>
      <c r="AV37" s="46">
        <v>440389276</v>
      </c>
    </row>
    <row r="38" spans="1:48" ht="28.9" customHeight="1" thickBot="1">
      <c r="A38" s="179"/>
      <c r="B38" s="164"/>
      <c r="C38" s="47" t="s">
        <v>100</v>
      </c>
      <c r="D38" s="48">
        <f t="shared" si="0"/>
        <v>593124.9411764706</v>
      </c>
      <c r="E38" s="48">
        <f t="shared" si="23"/>
        <v>255</v>
      </c>
      <c r="F38" s="48">
        <f t="shared" si="23"/>
        <v>151246860</v>
      </c>
      <c r="G38" s="48">
        <f t="shared" si="6"/>
        <v>646071.10071942443</v>
      </c>
      <c r="H38" s="48">
        <v>139</v>
      </c>
      <c r="I38" s="48">
        <v>89803883</v>
      </c>
      <c r="J38" s="48">
        <f t="shared" si="2"/>
        <v>529680.83620689658</v>
      </c>
      <c r="K38" s="48">
        <v>116</v>
      </c>
      <c r="L38" s="49">
        <v>61442977</v>
      </c>
      <c r="M38" s="179"/>
      <c r="N38" s="164"/>
      <c r="O38" s="47" t="s">
        <v>100</v>
      </c>
      <c r="P38" s="48">
        <f t="shared" si="28"/>
        <v>14064.037067501306</v>
      </c>
      <c r="Q38" s="48">
        <v>72203.59</v>
      </c>
      <c r="R38" s="48">
        <f t="shared" si="24"/>
        <v>12185687594</v>
      </c>
      <c r="S38" s="48">
        <f t="shared" si="29"/>
        <v>15176.853976189579</v>
      </c>
      <c r="T38" s="48">
        <v>33879.839999999997</v>
      </c>
      <c r="U38" s="48">
        <f>5019351119+777107978+266246552+89569439+17997525</f>
        <v>6170272613</v>
      </c>
      <c r="V38" s="48">
        <f t="shared" si="30"/>
        <v>13080.259153918914</v>
      </c>
      <c r="W38" s="48">
        <v>38323.75</v>
      </c>
      <c r="X38" s="49">
        <f>4708465794+794616433+368319602+124733547+19279605</f>
        <v>6015414981</v>
      </c>
      <c r="Y38" s="179"/>
      <c r="Z38" s="164"/>
      <c r="AA38" s="47" t="s">
        <v>100</v>
      </c>
      <c r="AB38" s="48">
        <f t="shared" si="11"/>
        <v>51172.945535714287</v>
      </c>
      <c r="AC38" s="48">
        <f t="shared" si="25"/>
        <v>1120</v>
      </c>
      <c r="AD38" s="48">
        <f t="shared" si="25"/>
        <v>57313699</v>
      </c>
      <c r="AE38" s="48">
        <f t="shared" si="12"/>
        <v>60334.932358318096</v>
      </c>
      <c r="AF38" s="48">
        <v>547</v>
      </c>
      <c r="AG38" s="48">
        <v>33003208</v>
      </c>
      <c r="AH38" s="48">
        <f t="shared" si="13"/>
        <v>42426.685863874343</v>
      </c>
      <c r="AI38" s="48">
        <v>573</v>
      </c>
      <c r="AJ38" s="49">
        <v>24310491</v>
      </c>
      <c r="AK38" s="179"/>
      <c r="AL38" s="164"/>
      <c r="AM38" s="47" t="s">
        <v>100</v>
      </c>
      <c r="AN38" s="48">
        <f t="shared" si="14"/>
        <v>245379.77972027971</v>
      </c>
      <c r="AO38" s="48">
        <f t="shared" si="26"/>
        <v>286</v>
      </c>
      <c r="AP38" s="48">
        <f t="shared" si="26"/>
        <v>70178617</v>
      </c>
      <c r="AQ38" s="48">
        <f t="shared" si="15"/>
        <v>262978.31012658228</v>
      </c>
      <c r="AR38" s="48">
        <v>158</v>
      </c>
      <c r="AS38" s="48">
        <v>41550573</v>
      </c>
      <c r="AT38" s="48">
        <f t="shared" si="16"/>
        <v>223656.59375</v>
      </c>
      <c r="AU38" s="48">
        <v>128</v>
      </c>
      <c r="AV38" s="49">
        <v>28628044</v>
      </c>
    </row>
    <row r="39" spans="1:48" s="4" customFormat="1" ht="174" customHeight="1">
      <c r="A39" s="133" t="s">
        <v>129</v>
      </c>
      <c r="B39" s="133"/>
      <c r="C39" s="133"/>
      <c r="D39" s="133"/>
      <c r="E39" s="133"/>
      <c r="F39" s="133"/>
      <c r="G39" s="133"/>
      <c r="H39" s="133"/>
      <c r="I39" s="133"/>
      <c r="J39" s="133"/>
      <c r="K39" s="133"/>
      <c r="L39" s="133"/>
      <c r="M39" s="133" t="s">
        <v>160</v>
      </c>
      <c r="N39" s="133"/>
      <c r="O39" s="133"/>
      <c r="P39" s="133"/>
      <c r="Q39" s="133"/>
      <c r="R39" s="133"/>
      <c r="S39" s="133"/>
      <c r="T39" s="133"/>
      <c r="U39" s="133"/>
      <c r="V39" s="133"/>
      <c r="W39" s="133"/>
      <c r="X39" s="133"/>
      <c r="Y39" s="133" t="s">
        <v>130</v>
      </c>
      <c r="Z39" s="133"/>
      <c r="AA39" s="133"/>
      <c r="AB39" s="133"/>
      <c r="AC39" s="133"/>
      <c r="AD39" s="133"/>
      <c r="AE39" s="133"/>
      <c r="AF39" s="133"/>
      <c r="AG39" s="133"/>
      <c r="AH39" s="133"/>
      <c r="AI39" s="133"/>
      <c r="AJ39" s="133"/>
      <c r="AK39" s="133" t="s">
        <v>126</v>
      </c>
      <c r="AL39" s="133"/>
      <c r="AM39" s="133"/>
      <c r="AN39" s="133"/>
      <c r="AO39" s="133"/>
      <c r="AP39" s="133"/>
      <c r="AQ39" s="133"/>
      <c r="AR39" s="133"/>
      <c r="AS39" s="133"/>
      <c r="AT39" s="133"/>
      <c r="AU39" s="133"/>
      <c r="AV39" s="133"/>
    </row>
  </sheetData>
  <mergeCells count="48">
    <mergeCell ref="AT4:AV4"/>
    <mergeCell ref="P4:R4"/>
    <mergeCell ref="AK3:AK5"/>
    <mergeCell ref="AN3:AV3"/>
    <mergeCell ref="AL6:AL28"/>
    <mergeCell ref="AH4:AJ4"/>
    <mergeCell ref="AL3:AM5"/>
    <mergeCell ref="J4:L4"/>
    <mergeCell ref="AB4:AD4"/>
    <mergeCell ref="AE4:AG4"/>
    <mergeCell ref="M3:M5"/>
    <mergeCell ref="N3:O5"/>
    <mergeCell ref="S4:U4"/>
    <mergeCell ref="A1:L1"/>
    <mergeCell ref="Y1:AJ1"/>
    <mergeCell ref="AK1:AV1"/>
    <mergeCell ref="M1:X1"/>
    <mergeCell ref="A3:A5"/>
    <mergeCell ref="B3:C5"/>
    <mergeCell ref="D3:L3"/>
    <mergeCell ref="Y3:Y5"/>
    <mergeCell ref="Z3:AA5"/>
    <mergeCell ref="AB3:AJ3"/>
    <mergeCell ref="P3:X3"/>
    <mergeCell ref="AN4:AP4"/>
    <mergeCell ref="V4:X4"/>
    <mergeCell ref="D4:F4"/>
    <mergeCell ref="G4:I4"/>
    <mergeCell ref="AQ4:AS4"/>
    <mergeCell ref="A6:A28"/>
    <mergeCell ref="B6:B28"/>
    <mergeCell ref="Y6:Y28"/>
    <mergeCell ref="Z6:Z28"/>
    <mergeCell ref="AK6:AK28"/>
    <mergeCell ref="M6:M28"/>
    <mergeCell ref="N6:N28"/>
    <mergeCell ref="M29:M38"/>
    <mergeCell ref="N29:N38"/>
    <mergeCell ref="A39:L39"/>
    <mergeCell ref="Y39:AJ39"/>
    <mergeCell ref="AK39:AV39"/>
    <mergeCell ref="M39:X39"/>
    <mergeCell ref="A29:A38"/>
    <mergeCell ref="B29:B38"/>
    <mergeCell ref="Y29:Y38"/>
    <mergeCell ref="Z29:Z38"/>
    <mergeCell ref="AK29:AK38"/>
    <mergeCell ref="AL29:AL38"/>
  </mergeCells>
  <phoneticPr fontId="4" type="noConversion"/>
  <printOptions horizontalCentered="1"/>
  <pageMargins left="0.15748031496062992" right="0.15748031496062992" top="0.59055118110236227" bottom="0.59055118110236227" header="0.51181102362204722" footer="0.31496062992125984"/>
  <pageSetup paperSize="9" orientation="portrait" r:id="rId1"/>
  <headerFooter alignWithMargins="0"/>
  <rowBreaks count="1" manualBreakCount="1">
    <brk id="28" max="16383" man="1"/>
  </rowBreaks>
  <colBreaks count="3" manualBreakCount="3">
    <brk id="24" max="1048575" man="1"/>
    <brk id="36" max="1048575" man="1"/>
    <brk id="12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AV44"/>
  <sheetViews>
    <sheetView view="pageBreakPreview" zoomScale="80" zoomScaleNormal="90" zoomScaleSheetLayoutView="80" workbookViewId="0">
      <selection activeCell="A2" sqref="A2"/>
    </sheetView>
  </sheetViews>
  <sheetFormatPr defaultColWidth="9" defaultRowHeight="16.5"/>
  <cols>
    <col min="1" max="1" width="5.625" style="54" customWidth="1"/>
    <col min="2" max="2" width="3.5" style="54" customWidth="1"/>
    <col min="3" max="3" width="9.5" style="55" customWidth="1"/>
    <col min="4" max="4" width="8.25" style="53" customWidth="1"/>
    <col min="5" max="5" width="6.375" style="53" customWidth="1"/>
    <col min="6" max="6" width="12.75" style="53" customWidth="1"/>
    <col min="7" max="7" width="8.25" style="53" customWidth="1"/>
    <col min="8" max="8" width="6.25" style="53" customWidth="1"/>
    <col min="9" max="9" width="12" style="53" customWidth="1"/>
    <col min="10" max="10" width="8.25" style="53" customWidth="1"/>
    <col min="11" max="11" width="6.25" style="53" customWidth="1"/>
    <col min="12" max="12" width="12" style="53" customWidth="1"/>
    <col min="13" max="13" width="5.625" style="53" customWidth="1"/>
    <col min="14" max="14" width="3.5" style="53" customWidth="1"/>
    <col min="15" max="15" width="9.375" style="56" customWidth="1"/>
    <col min="16" max="16" width="6.75" style="53" customWidth="1"/>
    <col min="17" max="17" width="7.375" style="53" customWidth="1"/>
    <col min="18" max="18" width="12.5" style="53" customWidth="1"/>
    <col min="19" max="19" width="6.75" style="53" customWidth="1"/>
    <col min="20" max="20" width="7.375" style="53" customWidth="1"/>
    <col min="21" max="21" width="12.5" style="53" customWidth="1"/>
    <col min="22" max="22" width="6.75" style="53" customWidth="1"/>
    <col min="23" max="23" width="7.375" style="53" customWidth="1"/>
    <col min="24" max="24" width="12.5" style="53" customWidth="1"/>
    <col min="25" max="25" width="6.625" style="53" customWidth="1"/>
    <col min="26" max="26" width="4.625" style="53" customWidth="1"/>
    <col min="27" max="27" width="9.375" style="56" customWidth="1"/>
    <col min="28" max="28" width="7.5" style="53" customWidth="1"/>
    <col min="29" max="29" width="7.25" style="53" customWidth="1"/>
    <col min="30" max="30" width="10.75" style="53" customWidth="1"/>
    <col min="31" max="31" width="7.5" style="53" customWidth="1"/>
    <col min="32" max="32" width="7.25" style="53" customWidth="1"/>
    <col min="33" max="33" width="10.75" style="53" customWidth="1"/>
    <col min="34" max="34" width="7.5" style="53" customWidth="1"/>
    <col min="35" max="35" width="7.25" style="53" customWidth="1"/>
    <col min="36" max="36" width="10.75" style="53" customWidth="1"/>
    <col min="37" max="37" width="6.625" style="53" customWidth="1"/>
    <col min="38" max="38" width="4.625" style="53" customWidth="1"/>
    <col min="39" max="39" width="9.375" style="56" customWidth="1"/>
    <col min="40" max="40" width="8.5" style="53" customWidth="1"/>
    <col min="41" max="41" width="6.75" style="53" customWidth="1"/>
    <col min="42" max="42" width="10.75" style="53" customWidth="1"/>
    <col min="43" max="43" width="8.5" style="53" customWidth="1"/>
    <col min="44" max="44" width="6.75" style="53" customWidth="1"/>
    <col min="45" max="45" width="10.75" style="53" customWidth="1"/>
    <col min="46" max="46" width="8.5" style="53" customWidth="1"/>
    <col min="47" max="47" width="6.75" style="53" customWidth="1"/>
    <col min="48" max="48" width="10.75" style="53" customWidth="1"/>
    <col min="49" max="16384" width="9" style="53"/>
  </cols>
  <sheetData>
    <row r="1" spans="1:48" ht="24" customHeight="1">
      <c r="A1" s="112" t="s">
        <v>121</v>
      </c>
      <c r="B1" s="113"/>
      <c r="C1" s="113"/>
      <c r="D1" s="113"/>
      <c r="E1" s="113"/>
      <c r="F1" s="113"/>
      <c r="G1" s="113"/>
      <c r="H1" s="113"/>
      <c r="I1" s="113"/>
      <c r="J1" s="113"/>
      <c r="K1" s="113"/>
      <c r="L1" s="113"/>
      <c r="M1" s="112" t="s">
        <v>119</v>
      </c>
      <c r="N1" s="113"/>
      <c r="O1" s="113"/>
      <c r="P1" s="113"/>
      <c r="Q1" s="113"/>
      <c r="R1" s="113"/>
      <c r="S1" s="113"/>
      <c r="T1" s="113"/>
      <c r="U1" s="113"/>
      <c r="V1" s="113"/>
      <c r="W1" s="113"/>
      <c r="X1" s="113"/>
      <c r="Y1" s="112" t="s">
        <v>123</v>
      </c>
      <c r="Z1" s="113"/>
      <c r="AA1" s="113"/>
      <c r="AB1" s="113"/>
      <c r="AC1" s="113"/>
      <c r="AD1" s="113"/>
      <c r="AE1" s="113"/>
      <c r="AF1" s="113"/>
      <c r="AG1" s="113"/>
      <c r="AH1" s="113"/>
      <c r="AI1" s="113"/>
      <c r="AJ1" s="113"/>
      <c r="AK1" s="112" t="s">
        <v>122</v>
      </c>
      <c r="AL1" s="113"/>
      <c r="AM1" s="113"/>
      <c r="AN1" s="113"/>
      <c r="AO1" s="113"/>
      <c r="AP1" s="113"/>
      <c r="AQ1" s="113"/>
      <c r="AR1" s="113"/>
      <c r="AS1" s="113"/>
      <c r="AT1" s="113"/>
      <c r="AU1" s="113"/>
      <c r="AV1" s="113"/>
    </row>
    <row r="2" spans="1:48" ht="18" customHeight="1" thickBot="1">
      <c r="AM2" s="57"/>
      <c r="AN2" s="58"/>
      <c r="AO2" s="58"/>
    </row>
    <row r="3" spans="1:48" s="59" customFormat="1" ht="27" customHeight="1">
      <c r="A3" s="100" t="s">
        <v>62</v>
      </c>
      <c r="B3" s="106" t="s">
        <v>52</v>
      </c>
      <c r="C3" s="107"/>
      <c r="D3" s="102" t="s">
        <v>57</v>
      </c>
      <c r="E3" s="102"/>
      <c r="F3" s="103"/>
      <c r="G3" s="103"/>
      <c r="H3" s="103"/>
      <c r="I3" s="103"/>
      <c r="J3" s="103"/>
      <c r="K3" s="104"/>
      <c r="L3" s="105"/>
      <c r="M3" s="100" t="s">
        <v>62</v>
      </c>
      <c r="N3" s="106" t="s">
        <v>52</v>
      </c>
      <c r="O3" s="107"/>
      <c r="P3" s="102" t="str">
        <f>D3</f>
        <v>104年</v>
      </c>
      <c r="Q3" s="102"/>
      <c r="R3" s="103"/>
      <c r="S3" s="103"/>
      <c r="T3" s="103"/>
      <c r="U3" s="103"/>
      <c r="V3" s="103"/>
      <c r="W3" s="104"/>
      <c r="X3" s="105"/>
      <c r="Y3" s="100" t="s">
        <v>62</v>
      </c>
      <c r="Z3" s="106" t="s">
        <v>52</v>
      </c>
      <c r="AA3" s="107"/>
      <c r="AB3" s="102" t="str">
        <f>D3</f>
        <v>104年</v>
      </c>
      <c r="AC3" s="102"/>
      <c r="AD3" s="103"/>
      <c r="AE3" s="103"/>
      <c r="AF3" s="103"/>
      <c r="AG3" s="103"/>
      <c r="AH3" s="103"/>
      <c r="AI3" s="104"/>
      <c r="AJ3" s="105"/>
      <c r="AK3" s="100" t="s">
        <v>62</v>
      </c>
      <c r="AL3" s="106" t="s">
        <v>52</v>
      </c>
      <c r="AM3" s="107"/>
      <c r="AN3" s="102" t="str">
        <f>D3</f>
        <v>104年</v>
      </c>
      <c r="AO3" s="102"/>
      <c r="AP3" s="103"/>
      <c r="AQ3" s="103"/>
      <c r="AR3" s="103"/>
      <c r="AS3" s="103"/>
      <c r="AT3" s="103"/>
      <c r="AU3" s="104"/>
      <c r="AV3" s="105"/>
    </row>
    <row r="4" spans="1:48" s="59" customFormat="1" ht="27" customHeight="1">
      <c r="A4" s="101"/>
      <c r="B4" s="108"/>
      <c r="C4" s="109"/>
      <c r="D4" s="99" t="s">
        <v>12</v>
      </c>
      <c r="E4" s="99"/>
      <c r="F4" s="99"/>
      <c r="G4" s="99" t="s">
        <v>13</v>
      </c>
      <c r="H4" s="99"/>
      <c r="I4" s="99"/>
      <c r="J4" s="99" t="s">
        <v>14</v>
      </c>
      <c r="K4" s="114"/>
      <c r="L4" s="115"/>
      <c r="M4" s="101"/>
      <c r="N4" s="108"/>
      <c r="O4" s="109"/>
      <c r="P4" s="99" t="s">
        <v>12</v>
      </c>
      <c r="Q4" s="99"/>
      <c r="R4" s="99"/>
      <c r="S4" s="99" t="s">
        <v>13</v>
      </c>
      <c r="T4" s="99"/>
      <c r="U4" s="99"/>
      <c r="V4" s="99" t="s">
        <v>14</v>
      </c>
      <c r="W4" s="114"/>
      <c r="X4" s="115"/>
      <c r="Y4" s="101"/>
      <c r="Z4" s="108"/>
      <c r="AA4" s="109"/>
      <c r="AB4" s="99" t="s">
        <v>12</v>
      </c>
      <c r="AC4" s="99"/>
      <c r="AD4" s="99"/>
      <c r="AE4" s="99" t="s">
        <v>13</v>
      </c>
      <c r="AF4" s="99"/>
      <c r="AG4" s="99"/>
      <c r="AH4" s="99" t="s">
        <v>14</v>
      </c>
      <c r="AI4" s="114"/>
      <c r="AJ4" s="115"/>
      <c r="AK4" s="101"/>
      <c r="AL4" s="108"/>
      <c r="AM4" s="109"/>
      <c r="AN4" s="99" t="s">
        <v>12</v>
      </c>
      <c r="AO4" s="99"/>
      <c r="AP4" s="99"/>
      <c r="AQ4" s="99" t="s">
        <v>13</v>
      </c>
      <c r="AR4" s="99"/>
      <c r="AS4" s="99"/>
      <c r="AT4" s="99" t="s">
        <v>14</v>
      </c>
      <c r="AU4" s="114"/>
      <c r="AV4" s="115"/>
    </row>
    <row r="5" spans="1:48" ht="49.5">
      <c r="A5" s="101"/>
      <c r="B5" s="110"/>
      <c r="C5" s="111"/>
      <c r="D5" s="60" t="s">
        <v>124</v>
      </c>
      <c r="E5" s="61" t="s">
        <v>15</v>
      </c>
      <c r="F5" s="61" t="s">
        <v>16</v>
      </c>
      <c r="G5" s="60" t="s">
        <v>124</v>
      </c>
      <c r="H5" s="61" t="s">
        <v>15</v>
      </c>
      <c r="I5" s="61" t="s">
        <v>16</v>
      </c>
      <c r="J5" s="60" t="s">
        <v>124</v>
      </c>
      <c r="K5" s="61" t="s">
        <v>15</v>
      </c>
      <c r="L5" s="62" t="s">
        <v>16</v>
      </c>
      <c r="M5" s="101"/>
      <c r="N5" s="110"/>
      <c r="O5" s="111"/>
      <c r="P5" s="60" t="s">
        <v>167</v>
      </c>
      <c r="Q5" s="82" t="s">
        <v>158</v>
      </c>
      <c r="R5" s="61" t="s">
        <v>16</v>
      </c>
      <c r="S5" s="60" t="s">
        <v>167</v>
      </c>
      <c r="T5" s="82" t="s">
        <v>158</v>
      </c>
      <c r="U5" s="61" t="s">
        <v>16</v>
      </c>
      <c r="V5" s="60" t="s">
        <v>167</v>
      </c>
      <c r="W5" s="82" t="s">
        <v>158</v>
      </c>
      <c r="X5" s="62" t="s">
        <v>16</v>
      </c>
      <c r="Y5" s="101"/>
      <c r="Z5" s="110"/>
      <c r="AA5" s="111"/>
      <c r="AB5" s="60" t="s">
        <v>124</v>
      </c>
      <c r="AC5" s="61" t="s">
        <v>15</v>
      </c>
      <c r="AD5" s="61" t="s">
        <v>16</v>
      </c>
      <c r="AE5" s="60" t="s">
        <v>124</v>
      </c>
      <c r="AF5" s="61" t="s">
        <v>15</v>
      </c>
      <c r="AG5" s="61" t="s">
        <v>16</v>
      </c>
      <c r="AH5" s="60" t="s">
        <v>124</v>
      </c>
      <c r="AI5" s="61" t="s">
        <v>15</v>
      </c>
      <c r="AJ5" s="62" t="s">
        <v>16</v>
      </c>
      <c r="AK5" s="101"/>
      <c r="AL5" s="110"/>
      <c r="AM5" s="111"/>
      <c r="AN5" s="60" t="s">
        <v>124</v>
      </c>
      <c r="AO5" s="61" t="s">
        <v>15</v>
      </c>
      <c r="AP5" s="61" t="s">
        <v>16</v>
      </c>
      <c r="AQ5" s="60" t="s">
        <v>124</v>
      </c>
      <c r="AR5" s="61" t="s">
        <v>15</v>
      </c>
      <c r="AS5" s="61" t="s">
        <v>16</v>
      </c>
      <c r="AT5" s="60" t="s">
        <v>124</v>
      </c>
      <c r="AU5" s="61" t="s">
        <v>15</v>
      </c>
      <c r="AV5" s="62" t="s">
        <v>16</v>
      </c>
    </row>
    <row r="6" spans="1:48" ht="24" customHeight="1">
      <c r="A6" s="170" t="s">
        <v>145</v>
      </c>
      <c r="B6" s="120" t="s">
        <v>17</v>
      </c>
      <c r="C6" s="63" t="s">
        <v>76</v>
      </c>
      <c r="D6" s="64">
        <f>(F6-E41)/E6</f>
        <v>1279816.9130275645</v>
      </c>
      <c r="E6" s="64">
        <f>SUM(E7:E28)</f>
        <v>79232</v>
      </c>
      <c r="F6" s="64">
        <f>SUM(F7:F28)</f>
        <v>101402453653</v>
      </c>
      <c r="G6" s="64">
        <f>I6/H6</f>
        <v>1278367.1387127663</v>
      </c>
      <c r="H6" s="64">
        <f t="shared" ref="H6:L6" si="0">SUM(H7:H28)</f>
        <v>38641</v>
      </c>
      <c r="I6" s="64">
        <f t="shared" si="0"/>
        <v>49397384607</v>
      </c>
      <c r="J6" s="64">
        <f>(L6-K41)/K6</f>
        <v>1281197.039885689</v>
      </c>
      <c r="K6" s="64">
        <f t="shared" ref="K6" si="1">SUM(K7:K28)</f>
        <v>40591</v>
      </c>
      <c r="L6" s="65">
        <f t="shared" si="0"/>
        <v>52005069046</v>
      </c>
      <c r="M6" s="170" t="s">
        <v>146</v>
      </c>
      <c r="N6" s="120" t="s">
        <v>17</v>
      </c>
      <c r="O6" s="63" t="s">
        <v>76</v>
      </c>
      <c r="P6" s="64">
        <f>R6/Q6/12</f>
        <v>16018.411618797412</v>
      </c>
      <c r="Q6" s="64">
        <v>680673.83</v>
      </c>
      <c r="R6" s="64">
        <f>U6+X6</f>
        <v>130839763045</v>
      </c>
      <c r="S6" s="64">
        <f>U6/T6/12</f>
        <v>17117.151057749168</v>
      </c>
      <c r="T6" s="64">
        <v>310268.58</v>
      </c>
      <c r="U6" s="64">
        <f>SUM(U7:U28)+(52872)</f>
        <v>63730969828</v>
      </c>
      <c r="V6" s="66">
        <f>X6/W6/12</f>
        <v>15098.056614343344</v>
      </c>
      <c r="W6" s="64">
        <v>370405.25</v>
      </c>
      <c r="X6" s="65">
        <f>SUM(X7:X28)+(0)</f>
        <v>67108793217</v>
      </c>
      <c r="Y6" s="170" t="s">
        <v>150</v>
      </c>
      <c r="Z6" s="120" t="s">
        <v>17</v>
      </c>
      <c r="AA6" s="63" t="s">
        <v>76</v>
      </c>
      <c r="AB6" s="64">
        <f>AD6/AC6</f>
        <v>112600.34997292374</v>
      </c>
      <c r="AC6" s="64">
        <f>AF6+AI6</f>
        <v>20313</v>
      </c>
      <c r="AD6" s="64">
        <f>AG6+AJ6</f>
        <v>2287250909</v>
      </c>
      <c r="AE6" s="64">
        <f>AG6/AF6</f>
        <v>136410.38592405064</v>
      </c>
      <c r="AF6" s="64">
        <f>SUM(AF7:AF28)+(0)</f>
        <v>9875</v>
      </c>
      <c r="AG6" s="64">
        <f>SUM(AG7:AG28)+(0)</f>
        <v>1347052561</v>
      </c>
      <c r="AH6" s="64">
        <f>AJ6/AI6</f>
        <v>90074.568691320179</v>
      </c>
      <c r="AI6" s="64">
        <f>SUM(AI7:AI28)+(3)</f>
        <v>10438</v>
      </c>
      <c r="AJ6" s="65">
        <f>SUM(AJ7:AJ28)+(41504)</f>
        <v>940198348</v>
      </c>
      <c r="AK6" s="170" t="s">
        <v>152</v>
      </c>
      <c r="AL6" s="120" t="s">
        <v>17</v>
      </c>
      <c r="AM6" s="63" t="s">
        <v>76</v>
      </c>
      <c r="AN6" s="64">
        <f>AP6/AO6</f>
        <v>863881.15712581994</v>
      </c>
      <c r="AO6" s="64">
        <f>SUM(AO7:AO28)</f>
        <v>3354</v>
      </c>
      <c r="AP6" s="64">
        <f>SUM(AP7:AP28)</f>
        <v>2897457401</v>
      </c>
      <c r="AQ6" s="64">
        <f>AS6/AR6</f>
        <v>888438.16299559467</v>
      </c>
      <c r="AR6" s="64">
        <f t="shared" ref="AR6:AS6" si="2">SUM(AR7:AR28)</f>
        <v>2043</v>
      </c>
      <c r="AS6" s="64">
        <f t="shared" si="2"/>
        <v>1815079167</v>
      </c>
      <c r="AT6" s="64">
        <f>AV6/AU6</f>
        <v>825612.68802440888</v>
      </c>
      <c r="AU6" s="64">
        <f t="shared" ref="AU6:AV6" si="3">SUM(AU7:AU28)</f>
        <v>1311</v>
      </c>
      <c r="AV6" s="65">
        <f t="shared" si="3"/>
        <v>1082378234</v>
      </c>
    </row>
    <row r="7" spans="1:48" ht="24" customHeight="1">
      <c r="A7" s="171"/>
      <c r="B7" s="121"/>
      <c r="C7" s="63" t="s">
        <v>95</v>
      </c>
      <c r="D7" s="64">
        <f t="shared" ref="D7:D38" si="4">F7/E7</f>
        <v>1336460.5888548298</v>
      </c>
      <c r="E7" s="64">
        <f>H7+K7</f>
        <v>12723</v>
      </c>
      <c r="F7" s="64">
        <f>I7+L7</f>
        <v>17003788072</v>
      </c>
      <c r="G7" s="64">
        <f t="shared" ref="G7:G38" si="5">I7/H7</f>
        <v>1329929.4183507171</v>
      </c>
      <c r="H7" s="64">
        <v>6136</v>
      </c>
      <c r="I7" s="64">
        <v>8160446911</v>
      </c>
      <c r="J7" s="64">
        <f t="shared" ref="J7:J38" si="6">L7/K7</f>
        <v>1342544.5819037498</v>
      </c>
      <c r="K7" s="64">
        <v>6587</v>
      </c>
      <c r="L7" s="65">
        <v>8843341161</v>
      </c>
      <c r="M7" s="171"/>
      <c r="N7" s="121"/>
      <c r="O7" s="63" t="s">
        <v>95</v>
      </c>
      <c r="P7" s="64">
        <f t="shared" ref="P7:P28" si="7">R7/Q7/12</f>
        <v>16198.174611984985</v>
      </c>
      <c r="Q7" s="64">
        <v>96747.33</v>
      </c>
      <c r="R7" s="64">
        <f t="shared" ref="R7:R12" si="8">U7+X7</f>
        <v>18805561735</v>
      </c>
      <c r="S7" s="64">
        <f t="shared" ref="S7:S28" si="9">U7/T7/12</f>
        <v>17084.171795225015</v>
      </c>
      <c r="T7" s="64">
        <v>44208.33</v>
      </c>
      <c r="U7" s="64">
        <v>9063152454</v>
      </c>
      <c r="V7" s="66">
        <f t="shared" ref="V7:V28" si="10">X7/W7/12</f>
        <v>15452.662595088093</v>
      </c>
      <c r="W7" s="64">
        <v>52539</v>
      </c>
      <c r="X7" s="65">
        <v>9742409281</v>
      </c>
      <c r="Y7" s="171"/>
      <c r="Z7" s="121"/>
      <c r="AA7" s="63" t="s">
        <v>95</v>
      </c>
      <c r="AB7" s="64">
        <f t="shared" ref="AB7:AB38" si="11">AD7/AC7</f>
        <v>118571.37338906304</v>
      </c>
      <c r="AC7" s="64">
        <f>AF7+AI7</f>
        <v>2871</v>
      </c>
      <c r="AD7" s="64">
        <f>AG7+AJ7</f>
        <v>340418413</v>
      </c>
      <c r="AE7" s="64">
        <f t="shared" ref="AE7:AE38" si="12">AG7/AF7</f>
        <v>146539.96601590744</v>
      </c>
      <c r="AF7" s="64">
        <v>1383</v>
      </c>
      <c r="AG7" s="64">
        <v>202664773</v>
      </c>
      <c r="AH7" s="64">
        <f t="shared" ref="AH7:AH38" si="13">AJ7/AI7</f>
        <v>92576.370967741939</v>
      </c>
      <c r="AI7" s="64">
        <v>1488</v>
      </c>
      <c r="AJ7" s="65">
        <v>137753640</v>
      </c>
      <c r="AK7" s="171"/>
      <c r="AL7" s="121"/>
      <c r="AM7" s="63" t="s">
        <v>95</v>
      </c>
      <c r="AN7" s="64">
        <f t="shared" ref="AN7:AN38" si="14">AP7/AO7</f>
        <v>905873.49871465296</v>
      </c>
      <c r="AO7" s="64">
        <f>AR7+AU7</f>
        <v>389</v>
      </c>
      <c r="AP7" s="64">
        <f>AS7+AV7</f>
        <v>352384791</v>
      </c>
      <c r="AQ7" s="64">
        <f t="shared" ref="AQ7:AQ38" si="15">AS7/AR7</f>
        <v>938793.88759689918</v>
      </c>
      <c r="AR7" s="64">
        <v>258</v>
      </c>
      <c r="AS7" s="64">
        <v>242208823</v>
      </c>
      <c r="AT7" s="64">
        <f t="shared" ref="AT7:AT38" si="16">AV7/AU7</f>
        <v>841037.92366412212</v>
      </c>
      <c r="AU7" s="64">
        <v>131</v>
      </c>
      <c r="AV7" s="65">
        <v>110175968</v>
      </c>
    </row>
    <row r="8" spans="1:48" ht="24" customHeight="1">
      <c r="A8" s="171"/>
      <c r="B8" s="121"/>
      <c r="C8" s="63" t="s">
        <v>96</v>
      </c>
      <c r="D8" s="64">
        <f>(F8-E41)/E8</f>
        <v>1297337.8683997844</v>
      </c>
      <c r="E8" s="64">
        <f t="shared" ref="E8:F28" si="17">H8+K8</f>
        <v>14848</v>
      </c>
      <c r="F8" s="64">
        <f t="shared" si="17"/>
        <v>19262872670</v>
      </c>
      <c r="G8" s="64">
        <f t="shared" si="5"/>
        <v>1293138.7232323233</v>
      </c>
      <c r="H8" s="64">
        <v>6930</v>
      </c>
      <c r="I8" s="64">
        <v>8961451352</v>
      </c>
      <c r="J8" s="64">
        <f>(L8-K41)/K8</f>
        <v>1301013.0484970952</v>
      </c>
      <c r="K8" s="64">
        <v>7918</v>
      </c>
      <c r="L8" s="65">
        <v>10301421318</v>
      </c>
      <c r="M8" s="171"/>
      <c r="N8" s="121"/>
      <c r="O8" s="63" t="s">
        <v>96</v>
      </c>
      <c r="P8" s="64">
        <f t="shared" si="7"/>
        <v>16331.708760240364</v>
      </c>
      <c r="Q8" s="64">
        <v>141314.92000000001</v>
      </c>
      <c r="R8" s="64">
        <f t="shared" si="8"/>
        <v>27694969403</v>
      </c>
      <c r="S8" s="64">
        <f t="shared" si="9"/>
        <v>17328.031274064881</v>
      </c>
      <c r="T8" s="64">
        <v>66876.5</v>
      </c>
      <c r="U8" s="64">
        <v>13906057002</v>
      </c>
      <c r="V8" s="66">
        <f t="shared" si="10"/>
        <v>15436.598915139073</v>
      </c>
      <c r="W8" s="64">
        <v>74438.42</v>
      </c>
      <c r="X8" s="67">
        <v>13788912401</v>
      </c>
      <c r="Y8" s="171"/>
      <c r="Z8" s="121"/>
      <c r="AA8" s="63" t="s">
        <v>96</v>
      </c>
      <c r="AB8" s="64">
        <f t="shared" si="11"/>
        <v>114438.24778597786</v>
      </c>
      <c r="AC8" s="64">
        <f t="shared" ref="AC8:AD28" si="18">AF8+AI8</f>
        <v>5420</v>
      </c>
      <c r="AD8" s="64">
        <f t="shared" si="18"/>
        <v>620255303</v>
      </c>
      <c r="AE8" s="64">
        <f t="shared" si="12"/>
        <v>133806.18474374255</v>
      </c>
      <c r="AF8" s="64">
        <v>2517</v>
      </c>
      <c r="AG8" s="64">
        <v>336790167</v>
      </c>
      <c r="AH8" s="64">
        <f t="shared" si="13"/>
        <v>97645.585945573548</v>
      </c>
      <c r="AI8" s="64">
        <v>2903</v>
      </c>
      <c r="AJ8" s="65">
        <v>283465136</v>
      </c>
      <c r="AK8" s="171"/>
      <c r="AL8" s="121"/>
      <c r="AM8" s="63" t="s">
        <v>96</v>
      </c>
      <c r="AN8" s="64">
        <f t="shared" si="14"/>
        <v>889225.97255574609</v>
      </c>
      <c r="AO8" s="64">
        <f t="shared" ref="AO8:AP28" si="19">AR8+AU8</f>
        <v>583</v>
      </c>
      <c r="AP8" s="64">
        <f t="shared" si="19"/>
        <v>518418742</v>
      </c>
      <c r="AQ8" s="64">
        <f t="shared" si="15"/>
        <v>919350.86908077996</v>
      </c>
      <c r="AR8" s="64">
        <v>359</v>
      </c>
      <c r="AS8" s="64">
        <v>330046962</v>
      </c>
      <c r="AT8" s="64">
        <f t="shared" si="16"/>
        <v>840945.44642857148</v>
      </c>
      <c r="AU8" s="64">
        <v>224</v>
      </c>
      <c r="AV8" s="65">
        <v>188371780</v>
      </c>
    </row>
    <row r="9" spans="1:48" ht="24" customHeight="1">
      <c r="A9" s="171"/>
      <c r="B9" s="121"/>
      <c r="C9" s="63" t="s">
        <v>101</v>
      </c>
      <c r="D9" s="64">
        <f t="shared" ref="D9" si="20">F9/E9</f>
        <v>1320898.2836484984</v>
      </c>
      <c r="E9" s="64">
        <f t="shared" ref="E9" si="21">H9+K9</f>
        <v>6293</v>
      </c>
      <c r="F9" s="64">
        <f t="shared" ref="F9" si="22">I9+L9</f>
        <v>8312412899</v>
      </c>
      <c r="G9" s="64">
        <f t="shared" ref="G9" si="23">I9/H9</f>
        <v>1333534.1577600001</v>
      </c>
      <c r="H9" s="64">
        <v>3125</v>
      </c>
      <c r="I9" s="64">
        <v>4167294243</v>
      </c>
      <c r="J9" s="64">
        <f t="shared" ref="J9" si="24">L9/K9</f>
        <v>1308433.9191919193</v>
      </c>
      <c r="K9" s="64">
        <v>3168</v>
      </c>
      <c r="L9" s="65">
        <v>4145118656</v>
      </c>
      <c r="M9" s="171"/>
      <c r="N9" s="121"/>
      <c r="O9" s="63" t="s">
        <v>101</v>
      </c>
      <c r="P9" s="64">
        <f t="shared" si="7"/>
        <v>16485.913150627206</v>
      </c>
      <c r="Q9" s="64">
        <v>46797.919999999998</v>
      </c>
      <c r="R9" s="64">
        <f t="shared" si="8"/>
        <v>9258077337</v>
      </c>
      <c r="S9" s="64">
        <f t="shared" si="9"/>
        <v>17841.466691611433</v>
      </c>
      <c r="T9" s="64">
        <v>23385</v>
      </c>
      <c r="U9" s="64">
        <v>5006672383</v>
      </c>
      <c r="V9" s="66">
        <f t="shared" si="10"/>
        <v>15131.976112619303</v>
      </c>
      <c r="W9" s="64">
        <v>23412.92</v>
      </c>
      <c r="X9" s="65">
        <v>4251404954</v>
      </c>
      <c r="Y9" s="171"/>
      <c r="Z9" s="121"/>
      <c r="AA9" s="63" t="s">
        <v>101</v>
      </c>
      <c r="AB9" s="64">
        <f t="shared" ref="AB9" si="25">AD9/AC9</f>
        <v>127992.32454361055</v>
      </c>
      <c r="AC9" s="64">
        <f t="shared" ref="AC9" si="26">AF9+AI9</f>
        <v>1479</v>
      </c>
      <c r="AD9" s="64">
        <f t="shared" ref="AD9" si="27">AG9+AJ9</f>
        <v>189300648</v>
      </c>
      <c r="AE9" s="64">
        <f t="shared" ref="AE9" si="28">AG9/AF9</f>
        <v>159932.65873015873</v>
      </c>
      <c r="AF9" s="64">
        <v>756</v>
      </c>
      <c r="AG9" s="64">
        <v>120909090</v>
      </c>
      <c r="AH9" s="64">
        <f t="shared" ref="AH9" si="29">AJ9/AI9</f>
        <v>94594.132780082989</v>
      </c>
      <c r="AI9" s="64">
        <v>723</v>
      </c>
      <c r="AJ9" s="65">
        <v>68391558</v>
      </c>
      <c r="AK9" s="171"/>
      <c r="AL9" s="121"/>
      <c r="AM9" s="63" t="s">
        <v>101</v>
      </c>
      <c r="AN9" s="64">
        <f t="shared" ref="AN9" si="30">AP9/AO9</f>
        <v>927664.18627450976</v>
      </c>
      <c r="AO9" s="64">
        <f t="shared" ref="AO9" si="31">AR9+AU9</f>
        <v>204</v>
      </c>
      <c r="AP9" s="64">
        <f t="shared" ref="AP9" si="32">AS9+AV9</f>
        <v>189243494</v>
      </c>
      <c r="AQ9" s="64">
        <f t="shared" ref="AQ9" si="33">AS9/AR9</f>
        <v>912743.21138211386</v>
      </c>
      <c r="AR9" s="64">
        <v>123</v>
      </c>
      <c r="AS9" s="64">
        <v>112267415</v>
      </c>
      <c r="AT9" s="64">
        <f t="shared" ref="AT9" si="34">AV9/AU9</f>
        <v>950321.96296296292</v>
      </c>
      <c r="AU9" s="64">
        <v>81</v>
      </c>
      <c r="AV9" s="65">
        <v>76976079</v>
      </c>
    </row>
    <row r="10" spans="1:48" ht="24" customHeight="1">
      <c r="A10" s="171"/>
      <c r="B10" s="121"/>
      <c r="C10" s="63" t="s">
        <v>97</v>
      </c>
      <c r="D10" s="64">
        <f t="shared" si="4"/>
        <v>1205459.1073295092</v>
      </c>
      <c r="E10" s="64">
        <f t="shared" si="17"/>
        <v>7845</v>
      </c>
      <c r="F10" s="64">
        <f t="shared" si="17"/>
        <v>9456826697</v>
      </c>
      <c r="G10" s="64">
        <f t="shared" si="5"/>
        <v>1237390.0177989472</v>
      </c>
      <c r="H10" s="64">
        <v>3989</v>
      </c>
      <c r="I10" s="64">
        <v>4935948781</v>
      </c>
      <c r="J10" s="64">
        <f t="shared" si="6"/>
        <v>1172426.8454356845</v>
      </c>
      <c r="K10" s="64">
        <v>3856</v>
      </c>
      <c r="L10" s="65">
        <v>4520877916</v>
      </c>
      <c r="M10" s="171"/>
      <c r="N10" s="121"/>
      <c r="O10" s="63" t="s">
        <v>97</v>
      </c>
      <c r="P10" s="64">
        <f t="shared" si="7"/>
        <v>15118.520384377422</v>
      </c>
      <c r="Q10" s="64">
        <v>62512.17</v>
      </c>
      <c r="R10" s="64">
        <f t="shared" si="8"/>
        <v>11341098197</v>
      </c>
      <c r="S10" s="64">
        <f t="shared" si="9"/>
        <v>16236.073061974874</v>
      </c>
      <c r="T10" s="64">
        <v>31004.5</v>
      </c>
      <c r="U10" s="64">
        <v>6040695927</v>
      </c>
      <c r="V10" s="66">
        <f t="shared" si="10"/>
        <v>14018.814757380242</v>
      </c>
      <c r="W10" s="64">
        <v>31507.67</v>
      </c>
      <c r="X10" s="68">
        <v>5300402270</v>
      </c>
      <c r="Y10" s="171"/>
      <c r="Z10" s="121"/>
      <c r="AA10" s="63" t="s">
        <v>97</v>
      </c>
      <c r="AB10" s="64">
        <f t="shared" si="11"/>
        <v>109924.38934426229</v>
      </c>
      <c r="AC10" s="64">
        <f t="shared" si="18"/>
        <v>2684</v>
      </c>
      <c r="AD10" s="64">
        <f t="shared" si="18"/>
        <v>295037061</v>
      </c>
      <c r="AE10" s="64">
        <f t="shared" si="12"/>
        <v>134035.92062256808</v>
      </c>
      <c r="AF10" s="64">
        <v>1285</v>
      </c>
      <c r="AG10" s="64">
        <v>172236158</v>
      </c>
      <c r="AH10" s="64">
        <f t="shared" si="13"/>
        <v>87777.629020729088</v>
      </c>
      <c r="AI10" s="64">
        <v>1399</v>
      </c>
      <c r="AJ10" s="65">
        <v>122800903</v>
      </c>
      <c r="AK10" s="171"/>
      <c r="AL10" s="121"/>
      <c r="AM10" s="63" t="s">
        <v>97</v>
      </c>
      <c r="AN10" s="64">
        <f t="shared" si="14"/>
        <v>835123.59</v>
      </c>
      <c r="AO10" s="64">
        <f t="shared" si="19"/>
        <v>300</v>
      </c>
      <c r="AP10" s="64">
        <f t="shared" si="19"/>
        <v>250537077</v>
      </c>
      <c r="AQ10" s="64">
        <f t="shared" si="15"/>
        <v>894085.20105820103</v>
      </c>
      <c r="AR10" s="64">
        <v>189</v>
      </c>
      <c r="AS10" s="64">
        <v>168982103</v>
      </c>
      <c r="AT10" s="64">
        <f t="shared" si="16"/>
        <v>734729.4954954955</v>
      </c>
      <c r="AU10" s="64">
        <v>111</v>
      </c>
      <c r="AV10" s="65">
        <v>81554974</v>
      </c>
    </row>
    <row r="11" spans="1:48" ht="24" customHeight="1">
      <c r="A11" s="171"/>
      <c r="B11" s="121"/>
      <c r="C11" s="63" t="s">
        <v>98</v>
      </c>
      <c r="D11" s="64">
        <f t="shared" si="4"/>
        <v>1116638.1282756093</v>
      </c>
      <c r="E11" s="64">
        <f t="shared" si="17"/>
        <v>5457</v>
      </c>
      <c r="F11" s="64">
        <f t="shared" si="17"/>
        <v>6093494266</v>
      </c>
      <c r="G11" s="64">
        <f t="shared" si="5"/>
        <v>1149239.1365418895</v>
      </c>
      <c r="H11" s="64">
        <v>2805</v>
      </c>
      <c r="I11" s="64">
        <v>3223615778</v>
      </c>
      <c r="J11" s="64">
        <f t="shared" si="6"/>
        <v>1082156.2926093515</v>
      </c>
      <c r="K11" s="64">
        <v>2652</v>
      </c>
      <c r="L11" s="65">
        <v>2869878488</v>
      </c>
      <c r="M11" s="171"/>
      <c r="N11" s="121"/>
      <c r="O11" s="63" t="s">
        <v>98</v>
      </c>
      <c r="P11" s="64">
        <f t="shared" si="7"/>
        <v>14593.276152651923</v>
      </c>
      <c r="Q11" s="64">
        <v>49041.33</v>
      </c>
      <c r="R11" s="64">
        <f t="shared" si="8"/>
        <v>8588084059</v>
      </c>
      <c r="S11" s="64">
        <f t="shared" si="9"/>
        <v>15900.38948424218</v>
      </c>
      <c r="T11" s="64">
        <v>22891.17</v>
      </c>
      <c r="U11" s="64">
        <v>4367742225</v>
      </c>
      <c r="V11" s="66">
        <f t="shared" si="10"/>
        <v>13449.057992102282</v>
      </c>
      <c r="W11" s="64">
        <v>26150.17</v>
      </c>
      <c r="X11" s="65">
        <v>4220341834</v>
      </c>
      <c r="Y11" s="171"/>
      <c r="Z11" s="121"/>
      <c r="AA11" s="63" t="s">
        <v>98</v>
      </c>
      <c r="AB11" s="64">
        <f t="shared" si="11"/>
        <v>110717.10090634441</v>
      </c>
      <c r="AC11" s="64">
        <f t="shared" si="18"/>
        <v>1655</v>
      </c>
      <c r="AD11" s="64">
        <f t="shared" si="18"/>
        <v>183236802</v>
      </c>
      <c r="AE11" s="64">
        <f t="shared" si="12"/>
        <v>134292.08462455304</v>
      </c>
      <c r="AF11" s="64">
        <v>839</v>
      </c>
      <c r="AG11" s="64">
        <v>112671059</v>
      </c>
      <c r="AH11" s="64">
        <f t="shared" si="13"/>
        <v>86477.626225490196</v>
      </c>
      <c r="AI11" s="64">
        <v>816</v>
      </c>
      <c r="AJ11" s="65">
        <v>70565743</v>
      </c>
      <c r="AK11" s="171"/>
      <c r="AL11" s="121"/>
      <c r="AM11" s="63" t="s">
        <v>98</v>
      </c>
      <c r="AN11" s="64">
        <f t="shared" si="14"/>
        <v>755577.89891696756</v>
      </c>
      <c r="AO11" s="64">
        <f t="shared" si="19"/>
        <v>277</v>
      </c>
      <c r="AP11" s="64">
        <f t="shared" si="19"/>
        <v>209295078</v>
      </c>
      <c r="AQ11" s="64">
        <f t="shared" si="15"/>
        <v>783069.79347826086</v>
      </c>
      <c r="AR11" s="64">
        <v>184</v>
      </c>
      <c r="AS11" s="64">
        <v>144084842</v>
      </c>
      <c r="AT11" s="64">
        <f t="shared" si="16"/>
        <v>701185.33333333337</v>
      </c>
      <c r="AU11" s="64">
        <v>93</v>
      </c>
      <c r="AV11" s="65">
        <v>65210236</v>
      </c>
    </row>
    <row r="12" spans="1:48" ht="24" customHeight="1">
      <c r="A12" s="171"/>
      <c r="B12" s="121"/>
      <c r="C12" s="63" t="s">
        <v>99</v>
      </c>
      <c r="D12" s="64">
        <f t="shared" si="4"/>
        <v>1210798.395111158</v>
      </c>
      <c r="E12" s="64">
        <f t="shared" si="17"/>
        <v>9491</v>
      </c>
      <c r="F12" s="64">
        <f t="shared" si="17"/>
        <v>11491687568</v>
      </c>
      <c r="G12" s="64">
        <f t="shared" si="5"/>
        <v>1206768.219152472</v>
      </c>
      <c r="H12" s="64">
        <v>4814</v>
      </c>
      <c r="I12" s="64">
        <v>5809382207</v>
      </c>
      <c r="J12" s="64">
        <f t="shared" si="6"/>
        <v>1214946.6241180245</v>
      </c>
      <c r="K12" s="64">
        <v>4677</v>
      </c>
      <c r="L12" s="65">
        <v>5682305361</v>
      </c>
      <c r="M12" s="171"/>
      <c r="N12" s="121"/>
      <c r="O12" s="63" t="s">
        <v>99</v>
      </c>
      <c r="P12" s="64">
        <f t="shared" si="7"/>
        <v>16046.220999630255</v>
      </c>
      <c r="Q12" s="64">
        <v>88538.67</v>
      </c>
      <c r="R12" s="64">
        <f t="shared" si="8"/>
        <v>17048532790</v>
      </c>
      <c r="S12" s="64">
        <f t="shared" si="9"/>
        <v>17741.561012234295</v>
      </c>
      <c r="T12" s="64">
        <v>39513.25</v>
      </c>
      <c r="U12" s="64">
        <v>8412320828</v>
      </c>
      <c r="V12" s="66">
        <f t="shared" si="10"/>
        <v>14679.819778528501</v>
      </c>
      <c r="W12" s="64">
        <v>49025.42</v>
      </c>
      <c r="X12" s="65">
        <v>8636211962</v>
      </c>
      <c r="Y12" s="171"/>
      <c r="Z12" s="121"/>
      <c r="AA12" s="63" t="s">
        <v>99</v>
      </c>
      <c r="AB12" s="64">
        <f t="shared" si="11"/>
        <v>101333.76122754491</v>
      </c>
      <c r="AC12" s="64">
        <f t="shared" si="18"/>
        <v>2672</v>
      </c>
      <c r="AD12" s="64">
        <f t="shared" si="18"/>
        <v>270763810</v>
      </c>
      <c r="AE12" s="64">
        <f t="shared" si="12"/>
        <v>125244.69359756098</v>
      </c>
      <c r="AF12" s="64">
        <v>1312</v>
      </c>
      <c r="AG12" s="64">
        <v>164321038</v>
      </c>
      <c r="AH12" s="64">
        <f t="shared" si="13"/>
        <v>78266.74411764706</v>
      </c>
      <c r="AI12" s="64">
        <v>1360</v>
      </c>
      <c r="AJ12" s="65">
        <v>106442772</v>
      </c>
      <c r="AK12" s="171"/>
      <c r="AL12" s="121"/>
      <c r="AM12" s="63" t="s">
        <v>99</v>
      </c>
      <c r="AN12" s="64">
        <f t="shared" si="14"/>
        <v>893701.7362869198</v>
      </c>
      <c r="AO12" s="64">
        <f t="shared" si="19"/>
        <v>474</v>
      </c>
      <c r="AP12" s="64">
        <f t="shared" si="19"/>
        <v>423614623</v>
      </c>
      <c r="AQ12" s="64">
        <f t="shared" si="15"/>
        <v>917654.84797297302</v>
      </c>
      <c r="AR12" s="64">
        <v>296</v>
      </c>
      <c r="AS12" s="64">
        <v>271625835</v>
      </c>
      <c r="AT12" s="64">
        <f t="shared" si="16"/>
        <v>853869.59550561802</v>
      </c>
      <c r="AU12" s="64">
        <v>178</v>
      </c>
      <c r="AV12" s="65">
        <v>151988788</v>
      </c>
    </row>
    <row r="13" spans="1:48" ht="24" customHeight="1">
      <c r="A13" s="172"/>
      <c r="B13" s="122"/>
      <c r="C13" s="69" t="s">
        <v>77</v>
      </c>
      <c r="D13" s="70">
        <f t="shared" si="4"/>
        <v>1558237.8404686796</v>
      </c>
      <c r="E13" s="70">
        <f t="shared" si="17"/>
        <v>2219</v>
      </c>
      <c r="F13" s="70">
        <f t="shared" si="17"/>
        <v>3457729768</v>
      </c>
      <c r="G13" s="70">
        <f t="shared" si="5"/>
        <v>1487366.9718456725</v>
      </c>
      <c r="H13" s="70">
        <v>959</v>
      </c>
      <c r="I13" s="70">
        <v>1426384926</v>
      </c>
      <c r="J13" s="70">
        <f t="shared" si="6"/>
        <v>1612178.446031746</v>
      </c>
      <c r="K13" s="70">
        <v>1260</v>
      </c>
      <c r="L13" s="71">
        <v>2031344842</v>
      </c>
      <c r="M13" s="172"/>
      <c r="N13" s="122"/>
      <c r="O13" s="69" t="s">
        <v>77</v>
      </c>
      <c r="P13" s="70">
        <f t="shared" si="7"/>
        <v>17991.551061346418</v>
      </c>
      <c r="Q13" s="70">
        <v>18717.419999999998</v>
      </c>
      <c r="R13" s="70">
        <f t="shared" ref="R13:R28" si="35">U13+X13</f>
        <v>4041065012</v>
      </c>
      <c r="S13" s="70">
        <f t="shared" si="9"/>
        <v>18671.988753192643</v>
      </c>
      <c r="T13" s="70">
        <v>6667.67</v>
      </c>
      <c r="U13" s="70">
        <v>1493983911</v>
      </c>
      <c r="V13" s="72">
        <f t="shared" si="10"/>
        <v>17615.034205412285</v>
      </c>
      <c r="W13" s="70">
        <v>12049.75</v>
      </c>
      <c r="X13" s="71">
        <v>2547081101</v>
      </c>
      <c r="Y13" s="172"/>
      <c r="Z13" s="122"/>
      <c r="AA13" s="69" t="s">
        <v>77</v>
      </c>
      <c r="AB13" s="70">
        <f t="shared" si="11"/>
        <v>114122.75757575757</v>
      </c>
      <c r="AC13" s="70">
        <f t="shared" si="18"/>
        <v>99</v>
      </c>
      <c r="AD13" s="70">
        <f t="shared" si="18"/>
        <v>11298153</v>
      </c>
      <c r="AE13" s="70">
        <f t="shared" si="12"/>
        <v>130547.77777777778</v>
      </c>
      <c r="AF13" s="70">
        <v>54</v>
      </c>
      <c r="AG13" s="70">
        <v>7049580</v>
      </c>
      <c r="AH13" s="70">
        <f t="shared" si="13"/>
        <v>94412.733333333337</v>
      </c>
      <c r="AI13" s="70">
        <v>45</v>
      </c>
      <c r="AJ13" s="71">
        <v>4248573</v>
      </c>
      <c r="AK13" s="172"/>
      <c r="AL13" s="122"/>
      <c r="AM13" s="69" t="s">
        <v>77</v>
      </c>
      <c r="AN13" s="70">
        <f t="shared" si="14"/>
        <v>939981.04395604401</v>
      </c>
      <c r="AO13" s="70">
        <f t="shared" si="19"/>
        <v>91</v>
      </c>
      <c r="AP13" s="70">
        <f t="shared" si="19"/>
        <v>85538275</v>
      </c>
      <c r="AQ13" s="70">
        <f t="shared" si="15"/>
        <v>868358.88095238095</v>
      </c>
      <c r="AR13" s="70">
        <v>42</v>
      </c>
      <c r="AS13" s="70">
        <v>36471073</v>
      </c>
      <c r="AT13" s="70">
        <f t="shared" si="16"/>
        <v>1001371.4693877551</v>
      </c>
      <c r="AU13" s="70">
        <v>49</v>
      </c>
      <c r="AV13" s="71">
        <v>49067202</v>
      </c>
    </row>
    <row r="14" spans="1:48" ht="24" customHeight="1">
      <c r="A14" s="172"/>
      <c r="B14" s="122"/>
      <c r="C14" s="69" t="s">
        <v>79</v>
      </c>
      <c r="D14" s="70">
        <f t="shared" si="4"/>
        <v>1408954.6448538755</v>
      </c>
      <c r="E14" s="70">
        <f t="shared" si="17"/>
        <v>1574</v>
      </c>
      <c r="F14" s="70">
        <f t="shared" si="17"/>
        <v>2217694611</v>
      </c>
      <c r="G14" s="70">
        <f t="shared" si="5"/>
        <v>1443577.2005347593</v>
      </c>
      <c r="H14" s="70">
        <v>748</v>
      </c>
      <c r="I14" s="70">
        <v>1079795746</v>
      </c>
      <c r="J14" s="70">
        <f t="shared" si="6"/>
        <v>1377601.5314769975</v>
      </c>
      <c r="K14" s="70">
        <v>826</v>
      </c>
      <c r="L14" s="71">
        <v>1137898865</v>
      </c>
      <c r="M14" s="172"/>
      <c r="N14" s="122"/>
      <c r="O14" s="69" t="s">
        <v>79</v>
      </c>
      <c r="P14" s="70">
        <f t="shared" si="7"/>
        <v>17175.277308221139</v>
      </c>
      <c r="Q14" s="70">
        <v>11222.17</v>
      </c>
      <c r="R14" s="70">
        <f t="shared" si="35"/>
        <v>2312926581</v>
      </c>
      <c r="S14" s="70">
        <f t="shared" si="9"/>
        <v>18069.023255419193</v>
      </c>
      <c r="T14" s="70">
        <v>4909.25</v>
      </c>
      <c r="U14" s="70">
        <v>1064464229</v>
      </c>
      <c r="V14" s="72">
        <f t="shared" si="10"/>
        <v>16480.254673484433</v>
      </c>
      <c r="W14" s="70">
        <v>6312.92</v>
      </c>
      <c r="X14" s="71">
        <v>1248462352</v>
      </c>
      <c r="Y14" s="172"/>
      <c r="Z14" s="122"/>
      <c r="AA14" s="69" t="s">
        <v>79</v>
      </c>
      <c r="AB14" s="70">
        <f t="shared" si="11"/>
        <v>130558.39613526571</v>
      </c>
      <c r="AC14" s="70">
        <f t="shared" si="18"/>
        <v>207</v>
      </c>
      <c r="AD14" s="70">
        <f t="shared" si="18"/>
        <v>27025588</v>
      </c>
      <c r="AE14" s="70">
        <f t="shared" si="12"/>
        <v>169164.84905660377</v>
      </c>
      <c r="AF14" s="70">
        <v>106</v>
      </c>
      <c r="AG14" s="70">
        <v>17931474</v>
      </c>
      <c r="AH14" s="70">
        <f t="shared" si="13"/>
        <v>90040.732673267325</v>
      </c>
      <c r="AI14" s="70">
        <v>101</v>
      </c>
      <c r="AJ14" s="71">
        <v>9094114</v>
      </c>
      <c r="AK14" s="172"/>
      <c r="AL14" s="122"/>
      <c r="AM14" s="69" t="s">
        <v>79</v>
      </c>
      <c r="AN14" s="70">
        <f t="shared" si="14"/>
        <v>1004574.26</v>
      </c>
      <c r="AO14" s="70">
        <f t="shared" si="19"/>
        <v>50</v>
      </c>
      <c r="AP14" s="70">
        <f t="shared" si="19"/>
        <v>50228713</v>
      </c>
      <c r="AQ14" s="70">
        <f t="shared" si="15"/>
        <v>1200085.8400000001</v>
      </c>
      <c r="AR14" s="70">
        <v>25</v>
      </c>
      <c r="AS14" s="70">
        <v>30002146</v>
      </c>
      <c r="AT14" s="70">
        <f t="shared" si="16"/>
        <v>809062.68</v>
      </c>
      <c r="AU14" s="70">
        <v>25</v>
      </c>
      <c r="AV14" s="71">
        <v>20226567</v>
      </c>
    </row>
    <row r="15" spans="1:48" ht="24" customHeight="1">
      <c r="A15" s="172"/>
      <c r="B15" s="122"/>
      <c r="C15" s="69" t="s">
        <v>80</v>
      </c>
      <c r="D15" s="70">
        <f t="shared" si="4"/>
        <v>1324711.4439283344</v>
      </c>
      <c r="E15" s="70">
        <f t="shared" si="17"/>
        <v>1507</v>
      </c>
      <c r="F15" s="70">
        <f t="shared" si="17"/>
        <v>1996340146</v>
      </c>
      <c r="G15" s="70">
        <f t="shared" si="5"/>
        <v>1326584.1662049862</v>
      </c>
      <c r="H15" s="70">
        <v>722</v>
      </c>
      <c r="I15" s="70">
        <v>957793768</v>
      </c>
      <c r="J15" s="70">
        <f t="shared" si="6"/>
        <v>1322989.0165605096</v>
      </c>
      <c r="K15" s="70">
        <v>785</v>
      </c>
      <c r="L15" s="71">
        <v>1038546378</v>
      </c>
      <c r="M15" s="172"/>
      <c r="N15" s="122"/>
      <c r="O15" s="69" t="s">
        <v>80</v>
      </c>
      <c r="P15" s="70">
        <f t="shared" si="7"/>
        <v>16261.838126673576</v>
      </c>
      <c r="Q15" s="70">
        <v>13766.67</v>
      </c>
      <c r="R15" s="70">
        <f t="shared" si="35"/>
        <v>2686456309</v>
      </c>
      <c r="S15" s="70">
        <f t="shared" si="9"/>
        <v>17326.977170695784</v>
      </c>
      <c r="T15" s="70">
        <v>5884.25</v>
      </c>
      <c r="U15" s="70">
        <v>1223475185</v>
      </c>
      <c r="V15" s="72">
        <f t="shared" si="10"/>
        <v>15466.708658846734</v>
      </c>
      <c r="W15" s="70">
        <v>7882.42</v>
      </c>
      <c r="X15" s="71">
        <v>1462981124</v>
      </c>
      <c r="Y15" s="172"/>
      <c r="Z15" s="122"/>
      <c r="AA15" s="69" t="s">
        <v>80</v>
      </c>
      <c r="AB15" s="70">
        <f t="shared" si="11"/>
        <v>123264.8091286307</v>
      </c>
      <c r="AC15" s="70">
        <f t="shared" si="18"/>
        <v>241</v>
      </c>
      <c r="AD15" s="70">
        <f t="shared" si="18"/>
        <v>29706819</v>
      </c>
      <c r="AE15" s="70">
        <f t="shared" si="12"/>
        <v>146289</v>
      </c>
      <c r="AF15" s="70">
        <v>121</v>
      </c>
      <c r="AG15" s="70">
        <v>17700969</v>
      </c>
      <c r="AH15" s="70">
        <f t="shared" si="13"/>
        <v>100048.75</v>
      </c>
      <c r="AI15" s="70">
        <v>120</v>
      </c>
      <c r="AJ15" s="71">
        <v>12005850</v>
      </c>
      <c r="AK15" s="172"/>
      <c r="AL15" s="122"/>
      <c r="AM15" s="69" t="s">
        <v>80</v>
      </c>
      <c r="AN15" s="70">
        <f t="shared" si="14"/>
        <v>853993.04938271607</v>
      </c>
      <c r="AO15" s="70">
        <f t="shared" si="19"/>
        <v>81</v>
      </c>
      <c r="AP15" s="70">
        <f t="shared" si="19"/>
        <v>69173437</v>
      </c>
      <c r="AQ15" s="70">
        <f t="shared" si="15"/>
        <v>898251.1</v>
      </c>
      <c r="AR15" s="70">
        <v>50</v>
      </c>
      <c r="AS15" s="70">
        <v>44912555</v>
      </c>
      <c r="AT15" s="70">
        <f t="shared" si="16"/>
        <v>782609.09677419357</v>
      </c>
      <c r="AU15" s="70">
        <v>31</v>
      </c>
      <c r="AV15" s="71">
        <v>24260882</v>
      </c>
    </row>
    <row r="16" spans="1:48" ht="24" customHeight="1">
      <c r="A16" s="172"/>
      <c r="B16" s="122"/>
      <c r="C16" s="69" t="s">
        <v>81</v>
      </c>
      <c r="D16" s="70">
        <f t="shared" si="4"/>
        <v>1270684.854491018</v>
      </c>
      <c r="E16" s="70">
        <f t="shared" si="17"/>
        <v>3340</v>
      </c>
      <c r="F16" s="70">
        <f t="shared" si="17"/>
        <v>4244087414</v>
      </c>
      <c r="G16" s="70">
        <f t="shared" si="5"/>
        <v>1292275.5058479533</v>
      </c>
      <c r="H16" s="70">
        <v>1710</v>
      </c>
      <c r="I16" s="70">
        <v>2209791115</v>
      </c>
      <c r="J16" s="70">
        <f t="shared" si="6"/>
        <v>1248034.5392638037</v>
      </c>
      <c r="K16" s="70">
        <v>1630</v>
      </c>
      <c r="L16" s="71">
        <v>2034296299</v>
      </c>
      <c r="M16" s="172"/>
      <c r="N16" s="122"/>
      <c r="O16" s="69" t="s">
        <v>81</v>
      </c>
      <c r="P16" s="70">
        <f t="shared" si="7"/>
        <v>15088.727019467899</v>
      </c>
      <c r="Q16" s="70">
        <v>31140.67</v>
      </c>
      <c r="R16" s="70">
        <f t="shared" si="35"/>
        <v>5638476826</v>
      </c>
      <c r="S16" s="70">
        <f t="shared" si="9"/>
        <v>16213.643882868369</v>
      </c>
      <c r="T16" s="70">
        <v>14853.83</v>
      </c>
      <c r="U16" s="70">
        <v>2890016519</v>
      </c>
      <c r="V16" s="72">
        <f t="shared" si="10"/>
        <v>14062.795456001362</v>
      </c>
      <c r="W16" s="70">
        <v>16286.83</v>
      </c>
      <c r="X16" s="71">
        <v>2748460307</v>
      </c>
      <c r="Y16" s="172"/>
      <c r="Z16" s="122"/>
      <c r="AA16" s="69" t="s">
        <v>81</v>
      </c>
      <c r="AB16" s="70">
        <f t="shared" si="11"/>
        <v>105855.4320827943</v>
      </c>
      <c r="AC16" s="70">
        <f t="shared" si="18"/>
        <v>773</v>
      </c>
      <c r="AD16" s="70">
        <f t="shared" si="18"/>
        <v>81826249</v>
      </c>
      <c r="AE16" s="70">
        <f t="shared" si="12"/>
        <v>134398.97520661156</v>
      </c>
      <c r="AF16" s="70">
        <v>363</v>
      </c>
      <c r="AG16" s="70">
        <v>48786828</v>
      </c>
      <c r="AH16" s="70">
        <f t="shared" si="13"/>
        <v>80583.953658536586</v>
      </c>
      <c r="AI16" s="70">
        <v>410</v>
      </c>
      <c r="AJ16" s="71">
        <v>33039421</v>
      </c>
      <c r="AK16" s="172"/>
      <c r="AL16" s="122"/>
      <c r="AM16" s="69" t="s">
        <v>81</v>
      </c>
      <c r="AN16" s="70">
        <f t="shared" si="14"/>
        <v>787761.86250000005</v>
      </c>
      <c r="AO16" s="70">
        <f t="shared" si="19"/>
        <v>160</v>
      </c>
      <c r="AP16" s="70">
        <f t="shared" si="19"/>
        <v>126041898</v>
      </c>
      <c r="AQ16" s="70">
        <f t="shared" si="15"/>
        <v>826124.88505747123</v>
      </c>
      <c r="AR16" s="70">
        <v>87</v>
      </c>
      <c r="AS16" s="70">
        <v>71872865</v>
      </c>
      <c r="AT16" s="70">
        <f t="shared" si="16"/>
        <v>742041.54794520547</v>
      </c>
      <c r="AU16" s="70">
        <v>73</v>
      </c>
      <c r="AV16" s="71">
        <v>54169033</v>
      </c>
    </row>
    <row r="17" spans="1:48" ht="24" customHeight="1">
      <c r="A17" s="172"/>
      <c r="B17" s="122"/>
      <c r="C17" s="69" t="s">
        <v>82</v>
      </c>
      <c r="D17" s="70">
        <f t="shared" si="4"/>
        <v>1318371.2129560686</v>
      </c>
      <c r="E17" s="70">
        <f t="shared" si="17"/>
        <v>1343</v>
      </c>
      <c r="F17" s="70">
        <f t="shared" si="17"/>
        <v>1770572539</v>
      </c>
      <c r="G17" s="70">
        <f t="shared" si="5"/>
        <v>1311049.5580645162</v>
      </c>
      <c r="H17" s="70">
        <v>620</v>
      </c>
      <c r="I17" s="70">
        <v>812850726</v>
      </c>
      <c r="J17" s="70">
        <f t="shared" si="6"/>
        <v>1324649.8105117565</v>
      </c>
      <c r="K17" s="70">
        <v>723</v>
      </c>
      <c r="L17" s="71">
        <v>957721813</v>
      </c>
      <c r="M17" s="172"/>
      <c r="N17" s="122"/>
      <c r="O17" s="69" t="s">
        <v>82</v>
      </c>
      <c r="P17" s="70">
        <f t="shared" si="7"/>
        <v>16234.559563759276</v>
      </c>
      <c r="Q17" s="70">
        <v>15790.67</v>
      </c>
      <c r="R17" s="70">
        <f t="shared" si="35"/>
        <v>3076254872</v>
      </c>
      <c r="S17" s="70">
        <f t="shared" si="9"/>
        <v>17023.857101567981</v>
      </c>
      <c r="T17" s="70">
        <v>6250.92</v>
      </c>
      <c r="U17" s="70">
        <v>1276977226</v>
      </c>
      <c r="V17" s="72">
        <f t="shared" si="10"/>
        <v>15717.372450361208</v>
      </c>
      <c r="W17" s="70">
        <v>9539.75</v>
      </c>
      <c r="X17" s="71">
        <v>1799277646</v>
      </c>
      <c r="Y17" s="172"/>
      <c r="Z17" s="122"/>
      <c r="AA17" s="69" t="s">
        <v>82</v>
      </c>
      <c r="AB17" s="70">
        <f t="shared" si="11"/>
        <v>111866.70408163265</v>
      </c>
      <c r="AC17" s="70">
        <f t="shared" si="18"/>
        <v>196</v>
      </c>
      <c r="AD17" s="70">
        <f t="shared" si="18"/>
        <v>21925874</v>
      </c>
      <c r="AE17" s="70">
        <f t="shared" si="12"/>
        <v>112745.69696969698</v>
      </c>
      <c r="AF17" s="70">
        <v>99</v>
      </c>
      <c r="AG17" s="70">
        <v>11161824</v>
      </c>
      <c r="AH17" s="70">
        <f t="shared" si="13"/>
        <v>110969.58762886598</v>
      </c>
      <c r="AI17" s="70">
        <v>97</v>
      </c>
      <c r="AJ17" s="71">
        <v>10764050</v>
      </c>
      <c r="AK17" s="172"/>
      <c r="AL17" s="122"/>
      <c r="AM17" s="69" t="s">
        <v>82</v>
      </c>
      <c r="AN17" s="70">
        <f t="shared" si="14"/>
        <v>812203.77777777775</v>
      </c>
      <c r="AO17" s="70">
        <f t="shared" si="19"/>
        <v>90</v>
      </c>
      <c r="AP17" s="70">
        <f t="shared" si="19"/>
        <v>73098340</v>
      </c>
      <c r="AQ17" s="70">
        <f t="shared" si="15"/>
        <v>739778.125</v>
      </c>
      <c r="AR17" s="70">
        <v>40</v>
      </c>
      <c r="AS17" s="70">
        <v>29591125</v>
      </c>
      <c r="AT17" s="70">
        <f t="shared" si="16"/>
        <v>870144.3</v>
      </c>
      <c r="AU17" s="70">
        <v>50</v>
      </c>
      <c r="AV17" s="71">
        <v>43507215</v>
      </c>
    </row>
    <row r="18" spans="1:48" ht="24" customHeight="1">
      <c r="A18" s="172"/>
      <c r="B18" s="122"/>
      <c r="C18" s="69" t="s">
        <v>83</v>
      </c>
      <c r="D18" s="70">
        <f t="shared" si="4"/>
        <v>1273158.7538790798</v>
      </c>
      <c r="E18" s="70">
        <f t="shared" si="17"/>
        <v>1869</v>
      </c>
      <c r="F18" s="70">
        <f t="shared" si="17"/>
        <v>2379533711</v>
      </c>
      <c r="G18" s="70">
        <f t="shared" si="5"/>
        <v>1276237.4227027027</v>
      </c>
      <c r="H18" s="70">
        <v>925</v>
      </c>
      <c r="I18" s="70">
        <v>1180519616</v>
      </c>
      <c r="J18" s="70">
        <f t="shared" si="6"/>
        <v>1270142.0497881356</v>
      </c>
      <c r="K18" s="70">
        <v>944</v>
      </c>
      <c r="L18" s="71">
        <v>1199014095</v>
      </c>
      <c r="M18" s="172"/>
      <c r="N18" s="122"/>
      <c r="O18" s="69" t="s">
        <v>83</v>
      </c>
      <c r="P18" s="70">
        <f t="shared" si="7"/>
        <v>15222.213473985525</v>
      </c>
      <c r="Q18" s="70">
        <v>19530.919999999998</v>
      </c>
      <c r="R18" s="70">
        <f t="shared" si="35"/>
        <v>3567646003</v>
      </c>
      <c r="S18" s="70">
        <f t="shared" si="9"/>
        <v>16235.584721786241</v>
      </c>
      <c r="T18" s="70">
        <v>8187.17</v>
      </c>
      <c r="U18" s="70">
        <v>1595081906</v>
      </c>
      <c r="V18" s="72">
        <f t="shared" si="10"/>
        <v>14490.82899540863</v>
      </c>
      <c r="W18" s="70">
        <v>11343.75</v>
      </c>
      <c r="X18" s="71">
        <v>1972564097</v>
      </c>
      <c r="Y18" s="172"/>
      <c r="Z18" s="122"/>
      <c r="AA18" s="69" t="s">
        <v>83</v>
      </c>
      <c r="AB18" s="70">
        <f t="shared" si="11"/>
        <v>125064.22362869198</v>
      </c>
      <c r="AC18" s="70">
        <f t="shared" si="18"/>
        <v>237</v>
      </c>
      <c r="AD18" s="70">
        <f t="shared" si="18"/>
        <v>29640221</v>
      </c>
      <c r="AE18" s="70">
        <f t="shared" si="12"/>
        <v>160928.6090225564</v>
      </c>
      <c r="AF18" s="70">
        <v>133</v>
      </c>
      <c r="AG18" s="70">
        <v>21403505</v>
      </c>
      <c r="AH18" s="70">
        <f t="shared" si="13"/>
        <v>79199.192307692312</v>
      </c>
      <c r="AI18" s="70">
        <v>104</v>
      </c>
      <c r="AJ18" s="71">
        <v>8236716</v>
      </c>
      <c r="AK18" s="172"/>
      <c r="AL18" s="122"/>
      <c r="AM18" s="69" t="s">
        <v>83</v>
      </c>
      <c r="AN18" s="70">
        <f t="shared" si="14"/>
        <v>774855.7769784173</v>
      </c>
      <c r="AO18" s="70">
        <f t="shared" si="19"/>
        <v>139</v>
      </c>
      <c r="AP18" s="70">
        <f t="shared" si="19"/>
        <v>107704953</v>
      </c>
      <c r="AQ18" s="70">
        <f t="shared" si="15"/>
        <v>783115.88888888888</v>
      </c>
      <c r="AR18" s="70">
        <v>81</v>
      </c>
      <c r="AS18" s="70">
        <v>63432387</v>
      </c>
      <c r="AT18" s="70">
        <f t="shared" si="16"/>
        <v>763320.10344827583</v>
      </c>
      <c r="AU18" s="70">
        <v>58</v>
      </c>
      <c r="AV18" s="71">
        <v>44272566</v>
      </c>
    </row>
    <row r="19" spans="1:48" ht="24" customHeight="1">
      <c r="A19" s="172"/>
      <c r="B19" s="122"/>
      <c r="C19" s="69" t="s">
        <v>84</v>
      </c>
      <c r="D19" s="70">
        <f t="shared" si="4"/>
        <v>1179650.1666666667</v>
      </c>
      <c r="E19" s="70">
        <f t="shared" si="17"/>
        <v>810</v>
      </c>
      <c r="F19" s="70">
        <f t="shared" si="17"/>
        <v>955516635</v>
      </c>
      <c r="G19" s="70">
        <f t="shared" si="5"/>
        <v>1178746.3064516129</v>
      </c>
      <c r="H19" s="70">
        <v>434</v>
      </c>
      <c r="I19" s="70">
        <v>511575897</v>
      </c>
      <c r="J19" s="70">
        <f t="shared" si="6"/>
        <v>1180693.4521276595</v>
      </c>
      <c r="K19" s="70">
        <v>376</v>
      </c>
      <c r="L19" s="71">
        <v>443940738</v>
      </c>
      <c r="M19" s="172"/>
      <c r="N19" s="122"/>
      <c r="O19" s="69" t="s">
        <v>84</v>
      </c>
      <c r="P19" s="70">
        <f t="shared" si="7"/>
        <v>15469.158628373463</v>
      </c>
      <c r="Q19" s="70">
        <v>6423.42</v>
      </c>
      <c r="R19" s="70">
        <f t="shared" si="35"/>
        <v>1192378835</v>
      </c>
      <c r="S19" s="70">
        <f t="shared" si="9"/>
        <v>16671.74819415704</v>
      </c>
      <c r="T19" s="70">
        <v>3039.67</v>
      </c>
      <c r="U19" s="70">
        <v>608119354</v>
      </c>
      <c r="V19" s="72">
        <f t="shared" si="10"/>
        <v>14388.85558428765</v>
      </c>
      <c r="W19" s="70">
        <v>3383.75</v>
      </c>
      <c r="X19" s="71">
        <v>584259481</v>
      </c>
      <c r="Y19" s="172"/>
      <c r="Z19" s="122"/>
      <c r="AA19" s="69" t="s">
        <v>84</v>
      </c>
      <c r="AB19" s="70">
        <f t="shared" si="11"/>
        <v>101235.60301507538</v>
      </c>
      <c r="AC19" s="70">
        <f t="shared" si="18"/>
        <v>199</v>
      </c>
      <c r="AD19" s="70">
        <f t="shared" si="18"/>
        <v>20145885</v>
      </c>
      <c r="AE19" s="70">
        <f t="shared" si="12"/>
        <v>122663.96</v>
      </c>
      <c r="AF19" s="70">
        <v>100</v>
      </c>
      <c r="AG19" s="70">
        <v>12266396</v>
      </c>
      <c r="AH19" s="70">
        <f t="shared" si="13"/>
        <v>79590.797979797979</v>
      </c>
      <c r="AI19" s="70">
        <v>99</v>
      </c>
      <c r="AJ19" s="71">
        <v>7879489</v>
      </c>
      <c r="AK19" s="172"/>
      <c r="AL19" s="122"/>
      <c r="AM19" s="69" t="s">
        <v>84</v>
      </c>
      <c r="AN19" s="70">
        <f t="shared" si="14"/>
        <v>755461.5438596491</v>
      </c>
      <c r="AO19" s="70">
        <f t="shared" si="19"/>
        <v>57</v>
      </c>
      <c r="AP19" s="70">
        <f t="shared" si="19"/>
        <v>43061308</v>
      </c>
      <c r="AQ19" s="70">
        <f t="shared" si="15"/>
        <v>735999.23529411759</v>
      </c>
      <c r="AR19" s="70">
        <v>34</v>
      </c>
      <c r="AS19" s="70">
        <v>25023974</v>
      </c>
      <c r="AT19" s="70">
        <f t="shared" si="16"/>
        <v>784231.91304347827</v>
      </c>
      <c r="AU19" s="70">
        <v>23</v>
      </c>
      <c r="AV19" s="71">
        <v>18037334</v>
      </c>
    </row>
    <row r="20" spans="1:48" ht="24" customHeight="1">
      <c r="A20" s="172"/>
      <c r="B20" s="122"/>
      <c r="C20" s="69" t="s">
        <v>85</v>
      </c>
      <c r="D20" s="70">
        <f t="shared" si="4"/>
        <v>1147094.279565399</v>
      </c>
      <c r="E20" s="70">
        <f t="shared" si="17"/>
        <v>2393</v>
      </c>
      <c r="F20" s="70">
        <f t="shared" si="17"/>
        <v>2744996611</v>
      </c>
      <c r="G20" s="70">
        <f t="shared" si="5"/>
        <v>1157911.3660245184</v>
      </c>
      <c r="H20" s="70">
        <v>1142</v>
      </c>
      <c r="I20" s="70">
        <v>1322334780</v>
      </c>
      <c r="J20" s="70">
        <f t="shared" si="6"/>
        <v>1137219.689048761</v>
      </c>
      <c r="K20" s="70">
        <v>1251</v>
      </c>
      <c r="L20" s="71">
        <v>1422661831</v>
      </c>
      <c r="M20" s="172"/>
      <c r="N20" s="122"/>
      <c r="O20" s="69" t="s">
        <v>85</v>
      </c>
      <c r="P20" s="70">
        <f t="shared" si="7"/>
        <v>14958.983758365959</v>
      </c>
      <c r="Q20" s="70">
        <v>17836.669999999998</v>
      </c>
      <c r="R20" s="70">
        <f t="shared" si="35"/>
        <v>3201821482</v>
      </c>
      <c r="S20" s="70">
        <f t="shared" si="9"/>
        <v>15899.194716600819</v>
      </c>
      <c r="T20" s="70">
        <v>7494.67</v>
      </c>
      <c r="U20" s="70">
        <v>1429910612</v>
      </c>
      <c r="V20" s="72">
        <f t="shared" si="10"/>
        <v>14277.629004705732</v>
      </c>
      <c r="W20" s="70">
        <v>10342</v>
      </c>
      <c r="X20" s="71">
        <v>1771910870</v>
      </c>
      <c r="Y20" s="172"/>
      <c r="Z20" s="122"/>
      <c r="AA20" s="69" t="s">
        <v>85</v>
      </c>
      <c r="AB20" s="70">
        <f t="shared" si="11"/>
        <v>106168.63016528926</v>
      </c>
      <c r="AC20" s="70">
        <f t="shared" si="18"/>
        <v>484</v>
      </c>
      <c r="AD20" s="70">
        <f t="shared" si="18"/>
        <v>51385617</v>
      </c>
      <c r="AE20" s="70">
        <f t="shared" si="12"/>
        <v>131966.97590361445</v>
      </c>
      <c r="AF20" s="70">
        <v>249</v>
      </c>
      <c r="AG20" s="70">
        <v>32859777</v>
      </c>
      <c r="AH20" s="70">
        <f t="shared" si="13"/>
        <v>78833.361702127659</v>
      </c>
      <c r="AI20" s="70">
        <v>235</v>
      </c>
      <c r="AJ20" s="71">
        <v>18525840</v>
      </c>
      <c r="AK20" s="172"/>
      <c r="AL20" s="122"/>
      <c r="AM20" s="69" t="s">
        <v>85</v>
      </c>
      <c r="AN20" s="70">
        <f t="shared" si="14"/>
        <v>896206.16666666663</v>
      </c>
      <c r="AO20" s="70">
        <f t="shared" si="19"/>
        <v>102</v>
      </c>
      <c r="AP20" s="70">
        <f t="shared" si="19"/>
        <v>91413029</v>
      </c>
      <c r="AQ20" s="70">
        <f t="shared" si="15"/>
        <v>911833.1323529412</v>
      </c>
      <c r="AR20" s="70">
        <v>68</v>
      </c>
      <c r="AS20" s="70">
        <v>62004653</v>
      </c>
      <c r="AT20" s="70">
        <f t="shared" si="16"/>
        <v>864952.23529411759</v>
      </c>
      <c r="AU20" s="70">
        <v>34</v>
      </c>
      <c r="AV20" s="71">
        <v>29408376</v>
      </c>
    </row>
    <row r="21" spans="1:48" ht="24" customHeight="1">
      <c r="A21" s="172"/>
      <c r="B21" s="122"/>
      <c r="C21" s="69" t="s">
        <v>86</v>
      </c>
      <c r="D21" s="70">
        <f t="shared" si="4"/>
        <v>920661.14754098363</v>
      </c>
      <c r="E21" s="70">
        <f t="shared" si="17"/>
        <v>549</v>
      </c>
      <c r="F21" s="70">
        <f t="shared" si="17"/>
        <v>505442970</v>
      </c>
      <c r="G21" s="70">
        <f t="shared" si="5"/>
        <v>902471.752851711</v>
      </c>
      <c r="H21" s="70">
        <v>263</v>
      </c>
      <c r="I21" s="70">
        <v>237350071</v>
      </c>
      <c r="J21" s="70">
        <f t="shared" si="6"/>
        <v>937387.75874125876</v>
      </c>
      <c r="K21" s="70">
        <v>286</v>
      </c>
      <c r="L21" s="71">
        <v>268092899</v>
      </c>
      <c r="M21" s="172"/>
      <c r="N21" s="122"/>
      <c r="O21" s="69" t="s">
        <v>86</v>
      </c>
      <c r="P21" s="70">
        <f t="shared" si="7"/>
        <v>15150.680674251083</v>
      </c>
      <c r="Q21" s="70">
        <v>4592.75</v>
      </c>
      <c r="R21" s="70">
        <f t="shared" si="35"/>
        <v>834999464</v>
      </c>
      <c r="S21" s="70">
        <f t="shared" si="9"/>
        <v>16120.642340833461</v>
      </c>
      <c r="T21" s="70">
        <v>1815.08</v>
      </c>
      <c r="U21" s="70">
        <v>351123066</v>
      </c>
      <c r="V21" s="72">
        <f t="shared" si="10"/>
        <v>14516.855193981528</v>
      </c>
      <c r="W21" s="70">
        <v>2777.67</v>
      </c>
      <c r="X21" s="71">
        <v>483876398</v>
      </c>
      <c r="Y21" s="172"/>
      <c r="Z21" s="122"/>
      <c r="AA21" s="69" t="s">
        <v>86</v>
      </c>
      <c r="AB21" s="70">
        <f t="shared" si="11"/>
        <v>105628.77702702703</v>
      </c>
      <c r="AC21" s="70">
        <f t="shared" si="18"/>
        <v>148</v>
      </c>
      <c r="AD21" s="70">
        <f t="shared" si="18"/>
        <v>15633059</v>
      </c>
      <c r="AE21" s="70">
        <f t="shared" si="12"/>
        <v>128091.73076923077</v>
      </c>
      <c r="AF21" s="70">
        <v>78</v>
      </c>
      <c r="AG21" s="70">
        <v>9991155</v>
      </c>
      <c r="AH21" s="70">
        <f t="shared" si="13"/>
        <v>80598.628571428577</v>
      </c>
      <c r="AI21" s="70">
        <v>70</v>
      </c>
      <c r="AJ21" s="71">
        <v>5641904</v>
      </c>
      <c r="AK21" s="172"/>
      <c r="AL21" s="122"/>
      <c r="AM21" s="69" t="s">
        <v>86</v>
      </c>
      <c r="AN21" s="70">
        <f t="shared" si="14"/>
        <v>854067.6</v>
      </c>
      <c r="AO21" s="70">
        <f t="shared" si="19"/>
        <v>25</v>
      </c>
      <c r="AP21" s="70">
        <f t="shared" si="19"/>
        <v>21351690</v>
      </c>
      <c r="AQ21" s="70">
        <f t="shared" si="15"/>
        <v>828836.85714285716</v>
      </c>
      <c r="AR21" s="70">
        <v>14</v>
      </c>
      <c r="AS21" s="70">
        <v>11603716</v>
      </c>
      <c r="AT21" s="70">
        <f t="shared" si="16"/>
        <v>886179.45454545459</v>
      </c>
      <c r="AU21" s="70">
        <v>11</v>
      </c>
      <c r="AV21" s="71">
        <v>9747974</v>
      </c>
    </row>
    <row r="22" spans="1:48" ht="24" customHeight="1">
      <c r="A22" s="172"/>
      <c r="B22" s="122"/>
      <c r="C22" s="69" t="s">
        <v>87</v>
      </c>
      <c r="D22" s="70">
        <f t="shared" si="4"/>
        <v>1208092.2385398981</v>
      </c>
      <c r="E22" s="70">
        <f t="shared" si="17"/>
        <v>1178</v>
      </c>
      <c r="F22" s="70">
        <f t="shared" si="17"/>
        <v>1423132657</v>
      </c>
      <c r="G22" s="70">
        <f t="shared" si="5"/>
        <v>1193696.4878957169</v>
      </c>
      <c r="H22" s="70">
        <v>537</v>
      </c>
      <c r="I22" s="70">
        <v>641015014</v>
      </c>
      <c r="J22" s="70">
        <f t="shared" si="6"/>
        <v>1220152.329173167</v>
      </c>
      <c r="K22" s="70">
        <v>641</v>
      </c>
      <c r="L22" s="71">
        <v>782117643</v>
      </c>
      <c r="M22" s="172"/>
      <c r="N22" s="122"/>
      <c r="O22" s="69" t="s">
        <v>87</v>
      </c>
      <c r="P22" s="70">
        <f t="shared" si="7"/>
        <v>16870.674772695274</v>
      </c>
      <c r="Q22" s="70">
        <v>10796.08</v>
      </c>
      <c r="R22" s="70">
        <f t="shared" si="35"/>
        <v>2185645854</v>
      </c>
      <c r="S22" s="70">
        <f t="shared" si="9"/>
        <v>18219.579434326872</v>
      </c>
      <c r="T22" s="70">
        <v>4269.25</v>
      </c>
      <c r="U22" s="70">
        <v>933407274</v>
      </c>
      <c r="V22" s="72">
        <f t="shared" si="10"/>
        <v>15988.345797270651</v>
      </c>
      <c r="W22" s="70">
        <v>6526.83</v>
      </c>
      <c r="X22" s="71">
        <v>1252238580</v>
      </c>
      <c r="Y22" s="172"/>
      <c r="Z22" s="122"/>
      <c r="AA22" s="69" t="s">
        <v>87</v>
      </c>
      <c r="AB22" s="70">
        <f t="shared" si="11"/>
        <v>107753.60109289618</v>
      </c>
      <c r="AC22" s="70">
        <f t="shared" si="18"/>
        <v>183</v>
      </c>
      <c r="AD22" s="70">
        <f t="shared" si="18"/>
        <v>19718909</v>
      </c>
      <c r="AE22" s="70">
        <f t="shared" si="12"/>
        <v>118661.66037735849</v>
      </c>
      <c r="AF22" s="70">
        <v>106</v>
      </c>
      <c r="AG22" s="70">
        <v>12578136</v>
      </c>
      <c r="AH22" s="70">
        <f t="shared" si="13"/>
        <v>92737.311688311689</v>
      </c>
      <c r="AI22" s="70">
        <v>77</v>
      </c>
      <c r="AJ22" s="71">
        <v>7140773</v>
      </c>
      <c r="AK22" s="172"/>
      <c r="AL22" s="122"/>
      <c r="AM22" s="69" t="s">
        <v>87</v>
      </c>
      <c r="AN22" s="70">
        <f t="shared" si="14"/>
        <v>803884.74626865669</v>
      </c>
      <c r="AO22" s="70">
        <f t="shared" si="19"/>
        <v>67</v>
      </c>
      <c r="AP22" s="70">
        <f t="shared" si="19"/>
        <v>53860278</v>
      </c>
      <c r="AQ22" s="70">
        <f t="shared" si="15"/>
        <v>828427.13953488367</v>
      </c>
      <c r="AR22" s="70">
        <v>43</v>
      </c>
      <c r="AS22" s="70">
        <v>35622367</v>
      </c>
      <c r="AT22" s="70">
        <f t="shared" si="16"/>
        <v>759912.95833333337</v>
      </c>
      <c r="AU22" s="70">
        <v>24</v>
      </c>
      <c r="AV22" s="71">
        <v>18237911</v>
      </c>
    </row>
    <row r="23" spans="1:48" ht="24" customHeight="1">
      <c r="A23" s="172"/>
      <c r="B23" s="122"/>
      <c r="C23" s="69" t="s">
        <v>88</v>
      </c>
      <c r="D23" s="70">
        <f t="shared" si="4"/>
        <v>1150326.7368421052</v>
      </c>
      <c r="E23" s="70">
        <f t="shared" si="17"/>
        <v>304</v>
      </c>
      <c r="F23" s="70">
        <f t="shared" si="17"/>
        <v>349699328</v>
      </c>
      <c r="G23" s="70">
        <f t="shared" si="5"/>
        <v>1121542.8383233533</v>
      </c>
      <c r="H23" s="70">
        <v>167</v>
      </c>
      <c r="I23" s="70">
        <v>187297654</v>
      </c>
      <c r="J23" s="70">
        <f t="shared" si="6"/>
        <v>1185413.6788321168</v>
      </c>
      <c r="K23" s="70">
        <v>137</v>
      </c>
      <c r="L23" s="71">
        <v>162401674</v>
      </c>
      <c r="M23" s="172"/>
      <c r="N23" s="122"/>
      <c r="O23" s="69" t="s">
        <v>88</v>
      </c>
      <c r="P23" s="70">
        <f t="shared" si="7"/>
        <v>15816.106155964837</v>
      </c>
      <c r="Q23" s="70">
        <v>2071.92</v>
      </c>
      <c r="R23" s="70">
        <f t="shared" si="35"/>
        <v>393236480</v>
      </c>
      <c r="S23" s="70">
        <f t="shared" si="9"/>
        <v>17006.979102007037</v>
      </c>
      <c r="T23" s="70">
        <v>805.5</v>
      </c>
      <c r="U23" s="70">
        <v>164389460</v>
      </c>
      <c r="V23" s="72">
        <f t="shared" si="10"/>
        <v>15058.657475403104</v>
      </c>
      <c r="W23" s="70">
        <v>1266.42</v>
      </c>
      <c r="X23" s="71">
        <v>228847020</v>
      </c>
      <c r="Y23" s="172"/>
      <c r="Z23" s="122"/>
      <c r="AA23" s="69" t="s">
        <v>88</v>
      </c>
      <c r="AB23" s="70">
        <f t="shared" si="11"/>
        <v>68441</v>
      </c>
      <c r="AC23" s="70">
        <f t="shared" si="18"/>
        <v>23</v>
      </c>
      <c r="AD23" s="70">
        <f t="shared" si="18"/>
        <v>1574143</v>
      </c>
      <c r="AE23" s="70">
        <f t="shared" si="12"/>
        <v>72466.692307692312</v>
      </c>
      <c r="AF23" s="70">
        <v>13</v>
      </c>
      <c r="AG23" s="70">
        <v>942067</v>
      </c>
      <c r="AH23" s="70">
        <f t="shared" si="13"/>
        <v>63207.6</v>
      </c>
      <c r="AI23" s="70">
        <v>10</v>
      </c>
      <c r="AJ23" s="71">
        <v>632076</v>
      </c>
      <c r="AK23" s="172"/>
      <c r="AL23" s="122"/>
      <c r="AM23" s="69" t="s">
        <v>88</v>
      </c>
      <c r="AN23" s="70">
        <f t="shared" si="14"/>
        <v>835999.2</v>
      </c>
      <c r="AO23" s="70">
        <f t="shared" si="19"/>
        <v>10</v>
      </c>
      <c r="AP23" s="70">
        <f t="shared" si="19"/>
        <v>8359992</v>
      </c>
      <c r="AQ23" s="70">
        <f t="shared" si="15"/>
        <v>876522.25</v>
      </c>
      <c r="AR23" s="70">
        <v>4</v>
      </c>
      <c r="AS23" s="70">
        <v>3506089</v>
      </c>
      <c r="AT23" s="70">
        <f t="shared" si="16"/>
        <v>808983.83333333337</v>
      </c>
      <c r="AU23" s="70">
        <v>6</v>
      </c>
      <c r="AV23" s="71">
        <v>4853903</v>
      </c>
    </row>
    <row r="24" spans="1:48" ht="24" customHeight="1">
      <c r="A24" s="172"/>
      <c r="B24" s="122"/>
      <c r="C24" s="69" t="s">
        <v>89</v>
      </c>
      <c r="D24" s="70">
        <f t="shared" si="4"/>
        <v>1467730.638400703</v>
      </c>
      <c r="E24" s="70">
        <f t="shared" si="17"/>
        <v>2276</v>
      </c>
      <c r="F24" s="70">
        <f t="shared" si="17"/>
        <v>3340554933</v>
      </c>
      <c r="G24" s="70">
        <f t="shared" si="5"/>
        <v>1357708.2146341463</v>
      </c>
      <c r="H24" s="70">
        <v>1025</v>
      </c>
      <c r="I24" s="70">
        <v>1391650920</v>
      </c>
      <c r="J24" s="70">
        <f t="shared" si="6"/>
        <v>1557876.9088729017</v>
      </c>
      <c r="K24" s="70">
        <v>1251</v>
      </c>
      <c r="L24" s="71">
        <v>1948904013</v>
      </c>
      <c r="M24" s="172"/>
      <c r="N24" s="122"/>
      <c r="O24" s="69" t="s">
        <v>89</v>
      </c>
      <c r="P24" s="70">
        <f t="shared" si="7"/>
        <v>18253.870484670137</v>
      </c>
      <c r="Q24" s="70">
        <v>16566.25</v>
      </c>
      <c r="R24" s="70">
        <f t="shared" si="35"/>
        <v>3628778183</v>
      </c>
      <c r="S24" s="70">
        <f t="shared" si="9"/>
        <v>19078.478509460256</v>
      </c>
      <c r="T24" s="70">
        <v>6066.08</v>
      </c>
      <c r="U24" s="70">
        <v>1388778923</v>
      </c>
      <c r="V24" s="72">
        <f t="shared" si="10"/>
        <v>17777.484078829202</v>
      </c>
      <c r="W24" s="70">
        <v>10500.17</v>
      </c>
      <c r="X24" s="71">
        <v>2239999260</v>
      </c>
      <c r="Y24" s="172"/>
      <c r="Z24" s="122"/>
      <c r="AA24" s="69" t="s">
        <v>89</v>
      </c>
      <c r="AB24" s="70">
        <f t="shared" si="11"/>
        <v>96476.336787564767</v>
      </c>
      <c r="AC24" s="70">
        <f t="shared" si="18"/>
        <v>193</v>
      </c>
      <c r="AD24" s="70">
        <f t="shared" si="18"/>
        <v>18619933</v>
      </c>
      <c r="AE24" s="70">
        <f t="shared" si="12"/>
        <v>99922.15217391304</v>
      </c>
      <c r="AF24" s="70">
        <v>92</v>
      </c>
      <c r="AG24" s="70">
        <v>9192838</v>
      </c>
      <c r="AH24" s="70">
        <f t="shared" si="13"/>
        <v>93337.574257425746</v>
      </c>
      <c r="AI24" s="70">
        <v>101</v>
      </c>
      <c r="AJ24" s="71">
        <v>9427095</v>
      </c>
      <c r="AK24" s="172"/>
      <c r="AL24" s="122"/>
      <c r="AM24" s="69" t="s">
        <v>89</v>
      </c>
      <c r="AN24" s="70">
        <f t="shared" si="14"/>
        <v>910793.44155844161</v>
      </c>
      <c r="AO24" s="70">
        <f t="shared" si="19"/>
        <v>77</v>
      </c>
      <c r="AP24" s="70">
        <f t="shared" si="19"/>
        <v>70131095</v>
      </c>
      <c r="AQ24" s="70">
        <f t="shared" si="15"/>
        <v>964464.25</v>
      </c>
      <c r="AR24" s="70">
        <v>40</v>
      </c>
      <c r="AS24" s="70">
        <v>38578570</v>
      </c>
      <c r="AT24" s="70">
        <f t="shared" si="16"/>
        <v>852770.94594594592</v>
      </c>
      <c r="AU24" s="70">
        <v>37</v>
      </c>
      <c r="AV24" s="71">
        <v>31552525</v>
      </c>
    </row>
    <row r="25" spans="1:48" ht="24" customHeight="1">
      <c r="A25" s="172"/>
      <c r="B25" s="122"/>
      <c r="C25" s="69" t="s">
        <v>90</v>
      </c>
      <c r="D25" s="70">
        <f t="shared" si="4"/>
        <v>1394418.7919463087</v>
      </c>
      <c r="E25" s="70">
        <f t="shared" si="17"/>
        <v>1788</v>
      </c>
      <c r="F25" s="70">
        <f t="shared" si="17"/>
        <v>2493220800</v>
      </c>
      <c r="G25" s="70">
        <f t="shared" si="5"/>
        <v>1395338.2080989876</v>
      </c>
      <c r="H25" s="70">
        <v>889</v>
      </c>
      <c r="I25" s="70">
        <v>1240455667</v>
      </c>
      <c r="J25" s="70">
        <f t="shared" si="6"/>
        <v>1393509.6028921024</v>
      </c>
      <c r="K25" s="70">
        <v>899</v>
      </c>
      <c r="L25" s="71">
        <v>1252765133</v>
      </c>
      <c r="M25" s="172"/>
      <c r="N25" s="122"/>
      <c r="O25" s="69" t="s">
        <v>90</v>
      </c>
      <c r="P25" s="70">
        <f t="shared" si="7"/>
        <v>16573.683613639871</v>
      </c>
      <c r="Q25" s="70">
        <v>12962</v>
      </c>
      <c r="R25" s="70">
        <f t="shared" si="35"/>
        <v>2577937044</v>
      </c>
      <c r="S25" s="70">
        <f t="shared" si="9"/>
        <v>17377.189546015365</v>
      </c>
      <c r="T25" s="70">
        <v>5922.08</v>
      </c>
      <c r="U25" s="70">
        <v>1234909280</v>
      </c>
      <c r="V25" s="72">
        <f t="shared" si="10"/>
        <v>15897.763090110871</v>
      </c>
      <c r="W25" s="70">
        <v>7039.92</v>
      </c>
      <c r="X25" s="71">
        <v>1343027764</v>
      </c>
      <c r="Y25" s="172"/>
      <c r="Z25" s="122"/>
      <c r="AA25" s="69" t="s">
        <v>90</v>
      </c>
      <c r="AB25" s="70">
        <f t="shared" si="11"/>
        <v>122019.963099631</v>
      </c>
      <c r="AC25" s="70">
        <f t="shared" si="18"/>
        <v>271</v>
      </c>
      <c r="AD25" s="70">
        <f t="shared" si="18"/>
        <v>33067410</v>
      </c>
      <c r="AE25" s="70">
        <f t="shared" si="12"/>
        <v>145656.8161764706</v>
      </c>
      <c r="AF25" s="70">
        <v>136</v>
      </c>
      <c r="AG25" s="70">
        <v>19809327</v>
      </c>
      <c r="AH25" s="70">
        <f t="shared" si="13"/>
        <v>98208.022222222222</v>
      </c>
      <c r="AI25" s="70">
        <v>135</v>
      </c>
      <c r="AJ25" s="71">
        <v>13258083</v>
      </c>
      <c r="AK25" s="172"/>
      <c r="AL25" s="122"/>
      <c r="AM25" s="69" t="s">
        <v>90</v>
      </c>
      <c r="AN25" s="70">
        <f t="shared" si="14"/>
        <v>961912.52173913049</v>
      </c>
      <c r="AO25" s="70">
        <f t="shared" si="19"/>
        <v>69</v>
      </c>
      <c r="AP25" s="70">
        <f t="shared" si="19"/>
        <v>66371964</v>
      </c>
      <c r="AQ25" s="70">
        <f t="shared" si="15"/>
        <v>954539.68888888892</v>
      </c>
      <c r="AR25" s="70">
        <v>45</v>
      </c>
      <c r="AS25" s="70">
        <v>42954286</v>
      </c>
      <c r="AT25" s="70">
        <f t="shared" si="16"/>
        <v>975736.58333333337</v>
      </c>
      <c r="AU25" s="70">
        <v>24</v>
      </c>
      <c r="AV25" s="71">
        <v>23417678</v>
      </c>
    </row>
    <row r="26" spans="1:48" ht="24" customHeight="1">
      <c r="A26" s="172"/>
      <c r="B26" s="122"/>
      <c r="C26" s="69" t="s">
        <v>91</v>
      </c>
      <c r="D26" s="70">
        <f t="shared" si="4"/>
        <v>1346922.3414634147</v>
      </c>
      <c r="E26" s="70">
        <f t="shared" si="17"/>
        <v>1312</v>
      </c>
      <c r="F26" s="70">
        <f t="shared" si="17"/>
        <v>1767162112</v>
      </c>
      <c r="G26" s="70">
        <f t="shared" si="5"/>
        <v>1342432.4389067525</v>
      </c>
      <c r="H26" s="70">
        <v>622</v>
      </c>
      <c r="I26" s="70">
        <v>834992977</v>
      </c>
      <c r="J26" s="70">
        <f t="shared" si="6"/>
        <v>1350969.7608695652</v>
      </c>
      <c r="K26" s="70">
        <v>690</v>
      </c>
      <c r="L26" s="71">
        <v>932169135</v>
      </c>
      <c r="M26" s="172"/>
      <c r="N26" s="122"/>
      <c r="O26" s="69" t="s">
        <v>91</v>
      </c>
      <c r="P26" s="70">
        <f t="shared" si="7"/>
        <v>16022.088775510987</v>
      </c>
      <c r="Q26" s="70">
        <v>13030.17</v>
      </c>
      <c r="R26" s="70">
        <f t="shared" si="35"/>
        <v>2505246486</v>
      </c>
      <c r="S26" s="70">
        <f t="shared" si="9"/>
        <v>16858.879735326085</v>
      </c>
      <c r="T26" s="70">
        <v>5631.08</v>
      </c>
      <c r="U26" s="70">
        <v>1139204406</v>
      </c>
      <c r="V26" s="72">
        <f t="shared" si="10"/>
        <v>15385.269519994377</v>
      </c>
      <c r="W26" s="70">
        <v>7399.08</v>
      </c>
      <c r="X26" s="71">
        <v>1366042080</v>
      </c>
      <c r="Y26" s="172"/>
      <c r="Z26" s="122"/>
      <c r="AA26" s="69" t="s">
        <v>91</v>
      </c>
      <c r="AB26" s="70">
        <f t="shared" si="11"/>
        <v>93409.848249027244</v>
      </c>
      <c r="AC26" s="70">
        <f t="shared" si="18"/>
        <v>257</v>
      </c>
      <c r="AD26" s="70">
        <f t="shared" si="18"/>
        <v>24006331</v>
      </c>
      <c r="AE26" s="70">
        <f t="shared" si="12"/>
        <v>116536.84426229508</v>
      </c>
      <c r="AF26" s="70">
        <v>122</v>
      </c>
      <c r="AG26" s="70">
        <v>14217495</v>
      </c>
      <c r="AH26" s="70">
        <f t="shared" si="13"/>
        <v>72509.896296296298</v>
      </c>
      <c r="AI26" s="70">
        <v>135</v>
      </c>
      <c r="AJ26" s="71">
        <v>9788836</v>
      </c>
      <c r="AK26" s="172"/>
      <c r="AL26" s="122"/>
      <c r="AM26" s="69" t="s">
        <v>91</v>
      </c>
      <c r="AN26" s="70">
        <f t="shared" si="14"/>
        <v>821791.36633663368</v>
      </c>
      <c r="AO26" s="70">
        <f t="shared" si="19"/>
        <v>101</v>
      </c>
      <c r="AP26" s="70">
        <f t="shared" si="19"/>
        <v>83000928</v>
      </c>
      <c r="AQ26" s="70">
        <f t="shared" si="15"/>
        <v>853143.87719298247</v>
      </c>
      <c r="AR26" s="70">
        <v>57</v>
      </c>
      <c r="AS26" s="70">
        <v>48629201</v>
      </c>
      <c r="AT26" s="70">
        <f t="shared" si="16"/>
        <v>781175.61363636365</v>
      </c>
      <c r="AU26" s="70">
        <v>44</v>
      </c>
      <c r="AV26" s="71">
        <v>34371727</v>
      </c>
    </row>
    <row r="27" spans="1:48" ht="24" customHeight="1">
      <c r="A27" s="172"/>
      <c r="B27" s="122"/>
      <c r="C27" s="69" t="s">
        <v>92</v>
      </c>
      <c r="D27" s="70">
        <f t="shared" si="4"/>
        <v>1219398.6100000001</v>
      </c>
      <c r="E27" s="70">
        <f t="shared" si="17"/>
        <v>100</v>
      </c>
      <c r="F27" s="70">
        <f t="shared" si="17"/>
        <v>121939861</v>
      </c>
      <c r="G27" s="70">
        <f t="shared" si="5"/>
        <v>1339996.704225352</v>
      </c>
      <c r="H27" s="70">
        <v>71</v>
      </c>
      <c r="I27" s="70">
        <v>95139766</v>
      </c>
      <c r="J27" s="70">
        <f t="shared" si="6"/>
        <v>924141.20689655177</v>
      </c>
      <c r="K27" s="70">
        <v>29</v>
      </c>
      <c r="L27" s="71">
        <v>26800095</v>
      </c>
      <c r="M27" s="172"/>
      <c r="N27" s="122"/>
      <c r="O27" s="69" t="s">
        <v>92</v>
      </c>
      <c r="P27" s="70">
        <f t="shared" si="7"/>
        <v>17367.732695714458</v>
      </c>
      <c r="Q27" s="70">
        <v>1042.42</v>
      </c>
      <c r="R27" s="70">
        <f t="shared" si="35"/>
        <v>217253663</v>
      </c>
      <c r="S27" s="70">
        <f t="shared" si="9"/>
        <v>20354.302340171904</v>
      </c>
      <c r="T27" s="70">
        <v>478.17</v>
      </c>
      <c r="U27" s="70">
        <v>116793801</v>
      </c>
      <c r="V27" s="72">
        <f t="shared" si="10"/>
        <v>14836.783636095111</v>
      </c>
      <c r="W27" s="70">
        <v>564.25</v>
      </c>
      <c r="X27" s="71">
        <v>100459862</v>
      </c>
      <c r="Y27" s="172"/>
      <c r="Z27" s="122"/>
      <c r="AA27" s="69" t="s">
        <v>92</v>
      </c>
      <c r="AB27" s="70">
        <f t="shared" si="11"/>
        <v>154387.4</v>
      </c>
      <c r="AC27" s="70">
        <f t="shared" si="18"/>
        <v>15</v>
      </c>
      <c r="AD27" s="70">
        <f t="shared" si="18"/>
        <v>2315811</v>
      </c>
      <c r="AE27" s="70">
        <f t="shared" si="12"/>
        <v>159467.88888888888</v>
      </c>
      <c r="AF27" s="70">
        <v>9</v>
      </c>
      <c r="AG27" s="70">
        <v>1435211</v>
      </c>
      <c r="AH27" s="70">
        <f t="shared" si="13"/>
        <v>146766.66666666666</v>
      </c>
      <c r="AI27" s="70">
        <v>6</v>
      </c>
      <c r="AJ27" s="71">
        <v>880600</v>
      </c>
      <c r="AK27" s="172"/>
      <c r="AL27" s="122"/>
      <c r="AM27" s="69" t="s">
        <v>92</v>
      </c>
      <c r="AN27" s="70">
        <f t="shared" si="14"/>
        <v>826961.5</v>
      </c>
      <c r="AO27" s="70">
        <f t="shared" si="19"/>
        <v>4</v>
      </c>
      <c r="AP27" s="70">
        <f t="shared" si="19"/>
        <v>3307846</v>
      </c>
      <c r="AQ27" s="70">
        <f t="shared" si="15"/>
        <v>1004558</v>
      </c>
      <c r="AR27" s="70">
        <v>1</v>
      </c>
      <c r="AS27" s="70">
        <v>1004558</v>
      </c>
      <c r="AT27" s="70">
        <f t="shared" si="16"/>
        <v>767762.66666666663</v>
      </c>
      <c r="AU27" s="70">
        <v>3</v>
      </c>
      <c r="AV27" s="71">
        <v>2303288</v>
      </c>
    </row>
    <row r="28" spans="1:48" ht="24" customHeight="1">
      <c r="A28" s="173"/>
      <c r="B28" s="123"/>
      <c r="C28" s="69" t="s">
        <v>93</v>
      </c>
      <c r="D28" s="70">
        <f t="shared" si="4"/>
        <v>1057491.1538461538</v>
      </c>
      <c r="E28" s="70">
        <f t="shared" si="17"/>
        <v>13</v>
      </c>
      <c r="F28" s="70">
        <f t="shared" si="17"/>
        <v>13747385</v>
      </c>
      <c r="G28" s="70">
        <f t="shared" si="5"/>
        <v>1287086.5</v>
      </c>
      <c r="H28" s="70">
        <v>8</v>
      </c>
      <c r="I28" s="70">
        <v>10296692</v>
      </c>
      <c r="J28" s="70">
        <f t="shared" si="6"/>
        <v>690138.6</v>
      </c>
      <c r="K28" s="70">
        <v>5</v>
      </c>
      <c r="L28" s="71">
        <v>3450693</v>
      </c>
      <c r="M28" s="173"/>
      <c r="N28" s="123"/>
      <c r="O28" s="69" t="s">
        <v>93</v>
      </c>
      <c r="P28" s="70">
        <f t="shared" si="7"/>
        <v>15652.743889202449</v>
      </c>
      <c r="Q28" s="70">
        <v>230.33</v>
      </c>
      <c r="R28" s="70">
        <f t="shared" si="35"/>
        <v>43263558</v>
      </c>
      <c r="S28" s="70">
        <f t="shared" si="9"/>
        <v>17255.689614901752</v>
      </c>
      <c r="T28" s="70">
        <v>114.17</v>
      </c>
      <c r="U28" s="70">
        <v>23640985</v>
      </c>
      <c r="V28" s="72">
        <f t="shared" si="10"/>
        <v>14076.047315715476</v>
      </c>
      <c r="W28" s="70">
        <v>116.17</v>
      </c>
      <c r="X28" s="71">
        <v>19622573</v>
      </c>
      <c r="Y28" s="173"/>
      <c r="Z28" s="123"/>
      <c r="AA28" s="69" t="s">
        <v>93</v>
      </c>
      <c r="AB28" s="70">
        <f t="shared" si="11"/>
        <v>102455.33333333333</v>
      </c>
      <c r="AC28" s="70">
        <f t="shared" si="18"/>
        <v>3</v>
      </c>
      <c r="AD28" s="70">
        <f t="shared" si="18"/>
        <v>307366</v>
      </c>
      <c r="AE28" s="70">
        <f t="shared" si="12"/>
        <v>66847</v>
      </c>
      <c r="AF28" s="70">
        <v>2</v>
      </c>
      <c r="AG28" s="70">
        <v>133694</v>
      </c>
      <c r="AH28" s="70">
        <f t="shared" si="13"/>
        <v>173672</v>
      </c>
      <c r="AI28" s="70">
        <v>1</v>
      </c>
      <c r="AJ28" s="71">
        <v>173672</v>
      </c>
      <c r="AK28" s="173"/>
      <c r="AL28" s="123"/>
      <c r="AM28" s="69" t="s">
        <v>93</v>
      </c>
      <c r="AN28" s="70">
        <f t="shared" si="14"/>
        <v>329962.5</v>
      </c>
      <c r="AO28" s="70">
        <f t="shared" si="19"/>
        <v>4</v>
      </c>
      <c r="AP28" s="70">
        <f t="shared" si="19"/>
        <v>1319850</v>
      </c>
      <c r="AQ28" s="70">
        <f t="shared" si="15"/>
        <v>217874</v>
      </c>
      <c r="AR28" s="70">
        <v>3</v>
      </c>
      <c r="AS28" s="70">
        <v>653622</v>
      </c>
      <c r="AT28" s="70">
        <f t="shared" si="16"/>
        <v>666228</v>
      </c>
      <c r="AU28" s="70">
        <v>1</v>
      </c>
      <c r="AV28" s="71">
        <v>666228</v>
      </c>
    </row>
    <row r="29" spans="1:48" ht="28.9" customHeight="1">
      <c r="A29" s="166" t="s">
        <v>145</v>
      </c>
      <c r="B29" s="128" t="s">
        <v>63</v>
      </c>
      <c r="C29" s="63" t="s">
        <v>76</v>
      </c>
      <c r="D29" s="64">
        <f>(F29-E42)/E29</f>
        <v>1279816.9130275645</v>
      </c>
      <c r="E29" s="64">
        <f>SUM(E30:E38)</f>
        <v>79232</v>
      </c>
      <c r="F29" s="64">
        <f>SUM(F30:F38)</f>
        <v>101402453653</v>
      </c>
      <c r="G29" s="64">
        <f t="shared" si="5"/>
        <v>1278367.1387127663</v>
      </c>
      <c r="H29" s="64">
        <f>SUM(H30:H38)</f>
        <v>38641</v>
      </c>
      <c r="I29" s="64">
        <f>SUM(I30:I38)</f>
        <v>49397384607</v>
      </c>
      <c r="J29" s="64">
        <f>(L29-K42)/K29</f>
        <v>1281197.039885689</v>
      </c>
      <c r="K29" s="64">
        <f>SUM(K30:K38)</f>
        <v>40591</v>
      </c>
      <c r="L29" s="65">
        <f>SUM(L30:L38)</f>
        <v>52005069046</v>
      </c>
      <c r="M29" s="166" t="s">
        <v>146</v>
      </c>
      <c r="N29" s="128" t="s">
        <v>63</v>
      </c>
      <c r="O29" s="63" t="s">
        <v>76</v>
      </c>
      <c r="P29" s="64">
        <f>R29/Q29/12</f>
        <v>16018.411618797412</v>
      </c>
      <c r="Q29" s="64">
        <v>680673.83</v>
      </c>
      <c r="R29" s="64">
        <f>SUM(R30:R38)</f>
        <v>130839763045</v>
      </c>
      <c r="S29" s="64">
        <f>U29/T29/12</f>
        <v>17117.151057749168</v>
      </c>
      <c r="T29" s="64">
        <v>310268.58</v>
      </c>
      <c r="U29" s="64">
        <f>SUM(U30:U38)</f>
        <v>63730969828</v>
      </c>
      <c r="V29" s="64">
        <f>X29/W29/12</f>
        <v>15098.056614343344</v>
      </c>
      <c r="W29" s="64">
        <v>370405.25</v>
      </c>
      <c r="X29" s="65">
        <f>SUM(X30:X38)</f>
        <v>67108793217</v>
      </c>
      <c r="Y29" s="166" t="s">
        <v>150</v>
      </c>
      <c r="Z29" s="128" t="s">
        <v>63</v>
      </c>
      <c r="AA29" s="63" t="s">
        <v>76</v>
      </c>
      <c r="AB29" s="64">
        <f t="shared" si="11"/>
        <v>112600.34997292374</v>
      </c>
      <c r="AC29" s="64">
        <f>SUM(AC30:AC38)</f>
        <v>20313</v>
      </c>
      <c r="AD29" s="64">
        <f>SUM(AD30:AD38)</f>
        <v>2287250909</v>
      </c>
      <c r="AE29" s="64">
        <f t="shared" si="12"/>
        <v>136410.38592405064</v>
      </c>
      <c r="AF29" s="64">
        <f>SUM(AF30:AF38)</f>
        <v>9875</v>
      </c>
      <c r="AG29" s="64">
        <f>SUM(AG30:AG38)</f>
        <v>1347052561</v>
      </c>
      <c r="AH29" s="64">
        <f t="shared" si="13"/>
        <v>90074.568691320179</v>
      </c>
      <c r="AI29" s="64">
        <f>SUM(AI30:AI38)</f>
        <v>10438</v>
      </c>
      <c r="AJ29" s="65">
        <f>SUM(AJ30:AJ38)</f>
        <v>940198348</v>
      </c>
      <c r="AK29" s="166" t="s">
        <v>152</v>
      </c>
      <c r="AL29" s="128" t="s">
        <v>63</v>
      </c>
      <c r="AM29" s="63" t="s">
        <v>76</v>
      </c>
      <c r="AN29" s="64">
        <f t="shared" si="14"/>
        <v>863881.15712581994</v>
      </c>
      <c r="AO29" s="64">
        <f>SUM(AO30:AO38)</f>
        <v>3354</v>
      </c>
      <c r="AP29" s="64">
        <f>SUM(AP30:AP38)</f>
        <v>2897457401</v>
      </c>
      <c r="AQ29" s="64">
        <f t="shared" si="15"/>
        <v>888438.16299559467</v>
      </c>
      <c r="AR29" s="64">
        <f>SUM(AR30:AR38)</f>
        <v>2043</v>
      </c>
      <c r="AS29" s="64">
        <f>SUM(AS30:AS38)</f>
        <v>1815079167</v>
      </c>
      <c r="AT29" s="64">
        <f t="shared" si="16"/>
        <v>825612.68802440888</v>
      </c>
      <c r="AU29" s="64">
        <f>SUM(AU30:AU38)</f>
        <v>1311</v>
      </c>
      <c r="AV29" s="65">
        <f>SUM(AV30:AV38)</f>
        <v>1082378234</v>
      </c>
    </row>
    <row r="30" spans="1:48" ht="28.9" customHeight="1">
      <c r="A30" s="167"/>
      <c r="B30" s="129"/>
      <c r="C30" s="76" t="s">
        <v>137</v>
      </c>
      <c r="D30" s="70">
        <v>0</v>
      </c>
      <c r="E30" s="70">
        <f t="shared" ref="E30:F38" si="36">H30+K30</f>
        <v>0</v>
      </c>
      <c r="F30" s="70">
        <f t="shared" si="36"/>
        <v>0</v>
      </c>
      <c r="G30" s="70">
        <v>0</v>
      </c>
      <c r="H30" s="70">
        <v>0</v>
      </c>
      <c r="I30" s="70">
        <v>0</v>
      </c>
      <c r="J30" s="70">
        <v>0</v>
      </c>
      <c r="K30" s="70">
        <v>0</v>
      </c>
      <c r="L30" s="71">
        <v>0</v>
      </c>
      <c r="M30" s="167"/>
      <c r="N30" s="129"/>
      <c r="O30" s="76" t="s">
        <v>137</v>
      </c>
      <c r="P30" s="70">
        <v>0</v>
      </c>
      <c r="Q30" s="70">
        <v>0</v>
      </c>
      <c r="R30" s="70">
        <f t="shared" ref="R30:R38" si="37">U30+X30</f>
        <v>0</v>
      </c>
      <c r="S30" s="70">
        <v>0</v>
      </c>
      <c r="T30" s="70">
        <v>0</v>
      </c>
      <c r="U30" s="70">
        <v>0</v>
      </c>
      <c r="V30" s="70">
        <v>0</v>
      </c>
      <c r="W30" s="70">
        <v>0</v>
      </c>
      <c r="X30" s="71">
        <v>0</v>
      </c>
      <c r="Y30" s="167"/>
      <c r="Z30" s="129"/>
      <c r="AA30" s="76" t="s">
        <v>137</v>
      </c>
      <c r="AB30" s="70">
        <v>0</v>
      </c>
      <c r="AC30" s="70">
        <f t="shared" ref="AC30:AD38" si="38">AF30+AI30</f>
        <v>0</v>
      </c>
      <c r="AD30" s="70">
        <f t="shared" si="38"/>
        <v>0</v>
      </c>
      <c r="AE30" s="70">
        <v>0</v>
      </c>
      <c r="AF30" s="70">
        <v>0</v>
      </c>
      <c r="AG30" s="70">
        <v>0</v>
      </c>
      <c r="AH30" s="70">
        <v>0</v>
      </c>
      <c r="AI30" s="70">
        <v>0</v>
      </c>
      <c r="AJ30" s="71">
        <v>0</v>
      </c>
      <c r="AK30" s="167"/>
      <c r="AL30" s="129"/>
      <c r="AM30" s="76" t="s">
        <v>137</v>
      </c>
      <c r="AN30" s="70">
        <v>0</v>
      </c>
      <c r="AO30" s="70">
        <f t="shared" ref="AO30:AP38" si="39">AR30+AU30</f>
        <v>0</v>
      </c>
      <c r="AP30" s="70">
        <f t="shared" si="39"/>
        <v>0</v>
      </c>
      <c r="AQ30" s="70">
        <v>0</v>
      </c>
      <c r="AR30" s="70">
        <v>0</v>
      </c>
      <c r="AS30" s="70">
        <v>0</v>
      </c>
      <c r="AT30" s="70">
        <v>0</v>
      </c>
      <c r="AU30" s="70">
        <v>0</v>
      </c>
      <c r="AV30" s="71">
        <v>0</v>
      </c>
    </row>
    <row r="31" spans="1:48" ht="28.9" customHeight="1">
      <c r="A31" s="167"/>
      <c r="B31" s="129"/>
      <c r="C31" s="69" t="s">
        <v>112</v>
      </c>
      <c r="D31" s="70">
        <f t="shared" si="4"/>
        <v>1052240.5</v>
      </c>
      <c r="E31" s="70">
        <f t="shared" si="36"/>
        <v>2</v>
      </c>
      <c r="F31" s="70">
        <f t="shared" si="36"/>
        <v>2104481</v>
      </c>
      <c r="G31" s="70">
        <v>0</v>
      </c>
      <c r="H31" s="70">
        <v>0</v>
      </c>
      <c r="I31" s="70">
        <v>0</v>
      </c>
      <c r="J31" s="70">
        <f t="shared" si="6"/>
        <v>1052240.5</v>
      </c>
      <c r="K31" s="70">
        <v>2</v>
      </c>
      <c r="L31" s="71">
        <v>2104481</v>
      </c>
      <c r="M31" s="167"/>
      <c r="N31" s="129"/>
      <c r="O31" s="69" t="s">
        <v>112</v>
      </c>
      <c r="P31" s="70">
        <v>0</v>
      </c>
      <c r="Q31" s="70">
        <v>0</v>
      </c>
      <c r="R31" s="70">
        <f t="shared" si="37"/>
        <v>0</v>
      </c>
      <c r="S31" s="70">
        <v>0</v>
      </c>
      <c r="T31" s="70">
        <v>0</v>
      </c>
      <c r="U31" s="70">
        <v>0</v>
      </c>
      <c r="V31" s="70">
        <v>0</v>
      </c>
      <c r="W31" s="70">
        <v>0</v>
      </c>
      <c r="X31" s="71">
        <v>0</v>
      </c>
      <c r="Y31" s="167"/>
      <c r="Z31" s="129"/>
      <c r="AA31" s="69" t="s">
        <v>112</v>
      </c>
      <c r="AB31" s="70">
        <v>0</v>
      </c>
      <c r="AC31" s="70">
        <f t="shared" si="38"/>
        <v>0</v>
      </c>
      <c r="AD31" s="70">
        <f t="shared" si="38"/>
        <v>0</v>
      </c>
      <c r="AE31" s="70">
        <v>0</v>
      </c>
      <c r="AF31" s="70">
        <v>0</v>
      </c>
      <c r="AG31" s="70">
        <v>0</v>
      </c>
      <c r="AH31" s="70">
        <v>0</v>
      </c>
      <c r="AI31" s="70">
        <v>0</v>
      </c>
      <c r="AJ31" s="71">
        <v>0</v>
      </c>
      <c r="AK31" s="167"/>
      <c r="AL31" s="129"/>
      <c r="AM31" s="69" t="s">
        <v>112</v>
      </c>
      <c r="AN31" s="70">
        <v>0</v>
      </c>
      <c r="AO31" s="70">
        <f t="shared" si="39"/>
        <v>0</v>
      </c>
      <c r="AP31" s="70">
        <f t="shared" si="39"/>
        <v>0</v>
      </c>
      <c r="AQ31" s="70">
        <v>0</v>
      </c>
      <c r="AR31" s="70">
        <v>0</v>
      </c>
      <c r="AS31" s="70">
        <v>0</v>
      </c>
      <c r="AT31" s="70">
        <v>0</v>
      </c>
      <c r="AU31" s="70">
        <v>0</v>
      </c>
      <c r="AV31" s="71">
        <v>0</v>
      </c>
    </row>
    <row r="32" spans="1:48" ht="28.9" customHeight="1">
      <c r="A32" s="167"/>
      <c r="B32" s="129"/>
      <c r="C32" s="69" t="s">
        <v>113</v>
      </c>
      <c r="D32" s="70">
        <f t="shared" si="4"/>
        <v>1246409.1118251928</v>
      </c>
      <c r="E32" s="70">
        <f t="shared" si="36"/>
        <v>778</v>
      </c>
      <c r="F32" s="70">
        <f t="shared" si="36"/>
        <v>969706289</v>
      </c>
      <c r="G32" s="70">
        <f t="shared" si="5"/>
        <v>1209161.8934426229</v>
      </c>
      <c r="H32" s="70">
        <v>244</v>
      </c>
      <c r="I32" s="70">
        <v>295035502</v>
      </c>
      <c r="J32" s="70">
        <f t="shared" si="6"/>
        <v>1263428.4400749065</v>
      </c>
      <c r="K32" s="70">
        <v>534</v>
      </c>
      <c r="L32" s="71">
        <v>674670787</v>
      </c>
      <c r="M32" s="167"/>
      <c r="N32" s="129"/>
      <c r="O32" s="69" t="s">
        <v>113</v>
      </c>
      <c r="P32" s="70">
        <v>0</v>
      </c>
      <c r="Q32" s="70">
        <v>0</v>
      </c>
      <c r="R32" s="70">
        <f t="shared" si="37"/>
        <v>0</v>
      </c>
      <c r="S32" s="70">
        <v>0</v>
      </c>
      <c r="T32" s="70">
        <v>0</v>
      </c>
      <c r="U32" s="70">
        <v>0</v>
      </c>
      <c r="V32" s="70">
        <v>0</v>
      </c>
      <c r="W32" s="70">
        <v>0</v>
      </c>
      <c r="X32" s="71">
        <v>0</v>
      </c>
      <c r="Y32" s="167"/>
      <c r="Z32" s="129"/>
      <c r="AA32" s="69" t="s">
        <v>113</v>
      </c>
      <c r="AB32" s="70">
        <v>0</v>
      </c>
      <c r="AC32" s="70">
        <f t="shared" si="38"/>
        <v>0</v>
      </c>
      <c r="AD32" s="70">
        <f t="shared" si="38"/>
        <v>0</v>
      </c>
      <c r="AE32" s="70">
        <v>0</v>
      </c>
      <c r="AF32" s="70">
        <v>0</v>
      </c>
      <c r="AG32" s="70">
        <v>0</v>
      </c>
      <c r="AH32" s="70">
        <v>0</v>
      </c>
      <c r="AI32" s="70">
        <v>0</v>
      </c>
      <c r="AJ32" s="71">
        <v>0</v>
      </c>
      <c r="AK32" s="167"/>
      <c r="AL32" s="129"/>
      <c r="AM32" s="69" t="s">
        <v>113</v>
      </c>
      <c r="AN32" s="70">
        <v>0</v>
      </c>
      <c r="AO32" s="70">
        <f t="shared" si="39"/>
        <v>0</v>
      </c>
      <c r="AP32" s="70">
        <f t="shared" si="39"/>
        <v>0</v>
      </c>
      <c r="AQ32" s="70">
        <v>0</v>
      </c>
      <c r="AR32" s="70">
        <v>0</v>
      </c>
      <c r="AS32" s="70">
        <v>0</v>
      </c>
      <c r="AT32" s="70">
        <v>0</v>
      </c>
      <c r="AU32" s="70">
        <v>0</v>
      </c>
      <c r="AV32" s="71">
        <v>0</v>
      </c>
    </row>
    <row r="33" spans="1:48" ht="28.9" customHeight="1">
      <c r="A33" s="167"/>
      <c r="B33" s="129"/>
      <c r="C33" s="69" t="s">
        <v>114</v>
      </c>
      <c r="D33" s="70">
        <f t="shared" si="4"/>
        <v>1549550.4402730376</v>
      </c>
      <c r="E33" s="70">
        <f t="shared" si="36"/>
        <v>4102</v>
      </c>
      <c r="F33" s="70">
        <f t="shared" si="36"/>
        <v>6356255906</v>
      </c>
      <c r="G33" s="70">
        <f t="shared" si="5"/>
        <v>1511328.2353673724</v>
      </c>
      <c r="H33" s="70">
        <v>1606</v>
      </c>
      <c r="I33" s="70">
        <v>2427193146</v>
      </c>
      <c r="J33" s="70">
        <f t="shared" si="6"/>
        <v>1574143.733974359</v>
      </c>
      <c r="K33" s="70">
        <v>2496</v>
      </c>
      <c r="L33" s="71">
        <v>3929062760</v>
      </c>
      <c r="M33" s="167"/>
      <c r="N33" s="129"/>
      <c r="O33" s="69" t="s">
        <v>114</v>
      </c>
      <c r="P33" s="70">
        <v>0</v>
      </c>
      <c r="Q33" s="70">
        <v>0</v>
      </c>
      <c r="R33" s="70">
        <f t="shared" si="37"/>
        <v>0</v>
      </c>
      <c r="S33" s="70">
        <v>0</v>
      </c>
      <c r="T33" s="70">
        <v>0</v>
      </c>
      <c r="U33" s="70">
        <v>0</v>
      </c>
      <c r="V33" s="70">
        <v>0</v>
      </c>
      <c r="W33" s="70">
        <v>0</v>
      </c>
      <c r="X33" s="71">
        <v>0</v>
      </c>
      <c r="Y33" s="167"/>
      <c r="Z33" s="129"/>
      <c r="AA33" s="69" t="s">
        <v>114</v>
      </c>
      <c r="AB33" s="70">
        <v>0</v>
      </c>
      <c r="AC33" s="70">
        <f t="shared" si="38"/>
        <v>0</v>
      </c>
      <c r="AD33" s="70">
        <f t="shared" si="38"/>
        <v>0</v>
      </c>
      <c r="AE33" s="70">
        <v>0</v>
      </c>
      <c r="AF33" s="70">
        <v>0</v>
      </c>
      <c r="AG33" s="70">
        <v>0</v>
      </c>
      <c r="AH33" s="70">
        <v>0</v>
      </c>
      <c r="AI33" s="70">
        <v>0</v>
      </c>
      <c r="AJ33" s="71">
        <v>0</v>
      </c>
      <c r="AK33" s="167"/>
      <c r="AL33" s="129"/>
      <c r="AM33" s="69" t="s">
        <v>114</v>
      </c>
      <c r="AN33" s="70">
        <v>0</v>
      </c>
      <c r="AO33" s="70">
        <f t="shared" si="39"/>
        <v>0</v>
      </c>
      <c r="AP33" s="70">
        <f t="shared" si="39"/>
        <v>0</v>
      </c>
      <c r="AQ33" s="70">
        <v>0</v>
      </c>
      <c r="AR33" s="70">
        <v>0</v>
      </c>
      <c r="AS33" s="70">
        <v>0</v>
      </c>
      <c r="AT33" s="70">
        <v>0</v>
      </c>
      <c r="AU33" s="70">
        <v>0</v>
      </c>
      <c r="AV33" s="71">
        <v>0</v>
      </c>
    </row>
    <row r="34" spans="1:48" ht="28.9" customHeight="1">
      <c r="A34" s="167"/>
      <c r="B34" s="129"/>
      <c r="C34" s="69" t="s">
        <v>115</v>
      </c>
      <c r="D34" s="70">
        <f t="shared" si="4"/>
        <v>1491030.7808241805</v>
      </c>
      <c r="E34" s="70">
        <f t="shared" si="36"/>
        <v>36327</v>
      </c>
      <c r="F34" s="70">
        <f t="shared" si="36"/>
        <v>54164675175</v>
      </c>
      <c r="G34" s="70">
        <f t="shared" si="5"/>
        <v>1482331.3656674386</v>
      </c>
      <c r="H34" s="70">
        <v>15979</v>
      </c>
      <c r="I34" s="70">
        <v>23686172892</v>
      </c>
      <c r="J34" s="70">
        <f t="shared" si="6"/>
        <v>1497862.3099567525</v>
      </c>
      <c r="K34" s="70">
        <v>20348</v>
      </c>
      <c r="L34" s="71">
        <v>30478502283</v>
      </c>
      <c r="M34" s="167"/>
      <c r="N34" s="129"/>
      <c r="O34" s="69" t="s">
        <v>115</v>
      </c>
      <c r="P34" s="70">
        <v>0</v>
      </c>
      <c r="Q34" s="70">
        <v>0</v>
      </c>
      <c r="R34" s="70">
        <f t="shared" si="37"/>
        <v>0</v>
      </c>
      <c r="S34" s="70">
        <v>0</v>
      </c>
      <c r="T34" s="70">
        <v>0</v>
      </c>
      <c r="U34" s="70">
        <v>0</v>
      </c>
      <c r="V34" s="70">
        <v>0</v>
      </c>
      <c r="W34" s="70">
        <v>0</v>
      </c>
      <c r="X34" s="71">
        <v>0</v>
      </c>
      <c r="Y34" s="167"/>
      <c r="Z34" s="129"/>
      <c r="AA34" s="69" t="s">
        <v>115</v>
      </c>
      <c r="AB34" s="70">
        <v>0</v>
      </c>
      <c r="AC34" s="70">
        <f t="shared" si="38"/>
        <v>0</v>
      </c>
      <c r="AD34" s="70">
        <f t="shared" si="38"/>
        <v>0</v>
      </c>
      <c r="AE34" s="70">
        <v>0</v>
      </c>
      <c r="AF34" s="70">
        <v>0</v>
      </c>
      <c r="AG34" s="70">
        <v>0</v>
      </c>
      <c r="AH34" s="70">
        <v>0</v>
      </c>
      <c r="AI34" s="70">
        <v>0</v>
      </c>
      <c r="AJ34" s="71">
        <v>0</v>
      </c>
      <c r="AK34" s="167"/>
      <c r="AL34" s="129"/>
      <c r="AM34" s="69" t="s">
        <v>115</v>
      </c>
      <c r="AN34" s="70">
        <v>0</v>
      </c>
      <c r="AO34" s="70">
        <f t="shared" si="39"/>
        <v>0</v>
      </c>
      <c r="AP34" s="70">
        <f t="shared" si="39"/>
        <v>0</v>
      </c>
      <c r="AQ34" s="70">
        <v>0</v>
      </c>
      <c r="AR34" s="70">
        <v>0</v>
      </c>
      <c r="AS34" s="70">
        <v>0</v>
      </c>
      <c r="AT34" s="70">
        <v>0</v>
      </c>
      <c r="AU34" s="70">
        <v>0</v>
      </c>
      <c r="AV34" s="71">
        <v>0</v>
      </c>
    </row>
    <row r="35" spans="1:48" ht="28.9" customHeight="1">
      <c r="A35" s="167"/>
      <c r="B35" s="129"/>
      <c r="C35" s="69" t="s">
        <v>116</v>
      </c>
      <c r="D35" s="70">
        <f>(F35-E42)/E35</f>
        <v>1125354.6751113089</v>
      </c>
      <c r="E35" s="70">
        <f t="shared" si="36"/>
        <v>22460</v>
      </c>
      <c r="F35" s="70">
        <f t="shared" si="36"/>
        <v>25275466003</v>
      </c>
      <c r="G35" s="70">
        <f t="shared" si="5"/>
        <v>1222275.4245738997</v>
      </c>
      <c r="H35" s="70">
        <v>11793</v>
      </c>
      <c r="I35" s="70">
        <v>14414294082</v>
      </c>
      <c r="J35" s="70">
        <f>(L35-K42)/K35</f>
        <v>1018203.0487484767</v>
      </c>
      <c r="K35" s="70">
        <v>10667</v>
      </c>
      <c r="L35" s="71">
        <v>10861171921</v>
      </c>
      <c r="M35" s="167"/>
      <c r="N35" s="129"/>
      <c r="O35" s="69" t="s">
        <v>116</v>
      </c>
      <c r="P35" s="70">
        <f t="shared" ref="P35:P38" si="40">R35/Q35/12</f>
        <v>14380.479415098502</v>
      </c>
      <c r="Q35" s="70">
        <v>113734.25</v>
      </c>
      <c r="R35" s="70">
        <f t="shared" si="37"/>
        <v>19626636491</v>
      </c>
      <c r="S35" s="70">
        <f t="shared" ref="S35:S38" si="41">U35/T35/12</f>
        <v>15069.065783417675</v>
      </c>
      <c r="T35" s="70">
        <v>50145.919999999998</v>
      </c>
      <c r="U35" s="70">
        <v>9067826007</v>
      </c>
      <c r="V35" s="70">
        <f t="shared" ref="V35:V38" si="42">X35/W35/12</f>
        <v>13837.458440356379</v>
      </c>
      <c r="W35" s="70">
        <v>63588.33</v>
      </c>
      <c r="X35" s="71">
        <v>10558810484</v>
      </c>
      <c r="Y35" s="167"/>
      <c r="Z35" s="129"/>
      <c r="AA35" s="69" t="s">
        <v>116</v>
      </c>
      <c r="AB35" s="70">
        <v>0</v>
      </c>
      <c r="AC35" s="70">
        <f t="shared" si="38"/>
        <v>0</v>
      </c>
      <c r="AD35" s="70">
        <f t="shared" si="38"/>
        <v>0</v>
      </c>
      <c r="AE35" s="70">
        <v>0</v>
      </c>
      <c r="AF35" s="70">
        <v>0</v>
      </c>
      <c r="AG35" s="70">
        <v>0</v>
      </c>
      <c r="AH35" s="70">
        <v>0</v>
      </c>
      <c r="AI35" s="70">
        <v>0</v>
      </c>
      <c r="AJ35" s="71">
        <v>0</v>
      </c>
      <c r="AK35" s="167"/>
      <c r="AL35" s="129"/>
      <c r="AM35" s="69" t="s">
        <v>116</v>
      </c>
      <c r="AN35" s="70">
        <f t="shared" si="14"/>
        <v>1113248.0895883776</v>
      </c>
      <c r="AO35" s="70">
        <f t="shared" si="39"/>
        <v>413</v>
      </c>
      <c r="AP35" s="70">
        <f t="shared" si="39"/>
        <v>459771461</v>
      </c>
      <c r="AQ35" s="70">
        <f t="shared" si="15"/>
        <v>1121871.109375</v>
      </c>
      <c r="AR35" s="70">
        <v>256</v>
      </c>
      <c r="AS35" s="70">
        <v>287199004</v>
      </c>
      <c r="AT35" s="70">
        <f t="shared" si="16"/>
        <v>1099187.6242038216</v>
      </c>
      <c r="AU35" s="70">
        <v>157</v>
      </c>
      <c r="AV35" s="71">
        <v>172572457</v>
      </c>
    </row>
    <row r="36" spans="1:48" ht="28.9" customHeight="1">
      <c r="A36" s="167"/>
      <c r="B36" s="129"/>
      <c r="C36" s="69" t="s">
        <v>117</v>
      </c>
      <c r="D36" s="70">
        <f t="shared" si="4"/>
        <v>969474.85287471756</v>
      </c>
      <c r="E36" s="70">
        <f t="shared" si="36"/>
        <v>11949</v>
      </c>
      <c r="F36" s="70">
        <f t="shared" si="36"/>
        <v>11584255017</v>
      </c>
      <c r="G36" s="70">
        <f t="shared" si="5"/>
        <v>990506.20929889299</v>
      </c>
      <c r="H36" s="70">
        <v>6775</v>
      </c>
      <c r="I36" s="70">
        <v>6710679568</v>
      </c>
      <c r="J36" s="70">
        <f t="shared" si="6"/>
        <v>941935.7265172014</v>
      </c>
      <c r="K36" s="70">
        <v>5174</v>
      </c>
      <c r="L36" s="71">
        <v>4873575449</v>
      </c>
      <c r="M36" s="167"/>
      <c r="N36" s="129"/>
      <c r="O36" s="69" t="s">
        <v>117</v>
      </c>
      <c r="P36" s="70">
        <f t="shared" si="40"/>
        <v>16221.556659994783</v>
      </c>
      <c r="Q36" s="70">
        <v>310437.08</v>
      </c>
      <c r="R36" s="70">
        <f t="shared" si="37"/>
        <v>60429272191</v>
      </c>
      <c r="S36" s="70">
        <f t="shared" si="41"/>
        <v>17267.893925129621</v>
      </c>
      <c r="T36" s="70">
        <v>138882.25</v>
      </c>
      <c r="U36" s="70">
        <v>28778447533</v>
      </c>
      <c r="V36" s="70">
        <f t="shared" si="42"/>
        <v>15374.494099058595</v>
      </c>
      <c r="W36" s="70">
        <v>171554.83</v>
      </c>
      <c r="X36" s="71">
        <v>31650824658</v>
      </c>
      <c r="Y36" s="167"/>
      <c r="Z36" s="129"/>
      <c r="AA36" s="69" t="s">
        <v>117</v>
      </c>
      <c r="AB36" s="70">
        <f t="shared" si="11"/>
        <v>124759.32968464946</v>
      </c>
      <c r="AC36" s="70">
        <f t="shared" si="38"/>
        <v>15348</v>
      </c>
      <c r="AD36" s="70">
        <f t="shared" si="38"/>
        <v>1914806192</v>
      </c>
      <c r="AE36" s="70">
        <f t="shared" si="12"/>
        <v>153039.37663398692</v>
      </c>
      <c r="AF36" s="70">
        <v>7344</v>
      </c>
      <c r="AG36" s="70">
        <v>1123921182</v>
      </c>
      <c r="AH36" s="70">
        <f t="shared" si="13"/>
        <v>98811.220639680163</v>
      </c>
      <c r="AI36" s="70">
        <v>8004</v>
      </c>
      <c r="AJ36" s="71">
        <v>790885010</v>
      </c>
      <c r="AK36" s="167"/>
      <c r="AL36" s="129"/>
      <c r="AM36" s="69" t="s">
        <v>117</v>
      </c>
      <c r="AN36" s="70">
        <f t="shared" si="14"/>
        <v>1003643.9736649598</v>
      </c>
      <c r="AO36" s="70">
        <f t="shared" si="39"/>
        <v>1367</v>
      </c>
      <c r="AP36" s="70">
        <f t="shared" si="39"/>
        <v>1371981312</v>
      </c>
      <c r="AQ36" s="70">
        <f t="shared" si="15"/>
        <v>1023180.0085574572</v>
      </c>
      <c r="AR36" s="70">
        <v>818</v>
      </c>
      <c r="AS36" s="70">
        <v>836961247</v>
      </c>
      <c r="AT36" s="70">
        <f t="shared" si="16"/>
        <v>974535.63752276869</v>
      </c>
      <c r="AU36" s="70">
        <v>549</v>
      </c>
      <c r="AV36" s="71">
        <v>535020065</v>
      </c>
    </row>
    <row r="37" spans="1:48" ht="28.9" customHeight="1">
      <c r="A37" s="168"/>
      <c r="B37" s="130"/>
      <c r="C37" s="69" t="s">
        <v>118</v>
      </c>
      <c r="D37" s="70">
        <f t="shared" si="4"/>
        <v>858245.502785107</v>
      </c>
      <c r="E37" s="70">
        <f t="shared" si="36"/>
        <v>3411</v>
      </c>
      <c r="F37" s="70">
        <f t="shared" si="36"/>
        <v>2927475410</v>
      </c>
      <c r="G37" s="70">
        <f t="shared" si="5"/>
        <v>840019.90695488721</v>
      </c>
      <c r="H37" s="70">
        <v>2128</v>
      </c>
      <c r="I37" s="70">
        <v>1787562362</v>
      </c>
      <c r="J37" s="70">
        <f t="shared" si="6"/>
        <v>888474.70615744346</v>
      </c>
      <c r="K37" s="70">
        <v>1283</v>
      </c>
      <c r="L37" s="71">
        <v>1139913048</v>
      </c>
      <c r="M37" s="168"/>
      <c r="N37" s="130"/>
      <c r="O37" s="69" t="s">
        <v>118</v>
      </c>
      <c r="P37" s="70">
        <f t="shared" si="40"/>
        <v>17339.073202366744</v>
      </c>
      <c r="Q37" s="70">
        <v>202068.33</v>
      </c>
      <c r="R37" s="70">
        <f t="shared" si="37"/>
        <v>42044130789</v>
      </c>
      <c r="S37" s="70">
        <f t="shared" si="41"/>
        <v>18700.762507170497</v>
      </c>
      <c r="T37" s="70">
        <v>95507.08</v>
      </c>
      <c r="U37" s="70">
        <v>21432662650</v>
      </c>
      <c r="V37" s="70">
        <f t="shared" si="42"/>
        <v>16118.639232522766</v>
      </c>
      <c r="W37" s="70">
        <v>106561.25</v>
      </c>
      <c r="X37" s="71">
        <v>20611468139</v>
      </c>
      <c r="Y37" s="168"/>
      <c r="Z37" s="130"/>
      <c r="AA37" s="69" t="s">
        <v>118</v>
      </c>
      <c r="AB37" s="70">
        <f t="shared" si="11"/>
        <v>80802.908618899266</v>
      </c>
      <c r="AC37" s="70">
        <f t="shared" si="38"/>
        <v>3852</v>
      </c>
      <c r="AD37" s="70">
        <f t="shared" si="38"/>
        <v>311252804</v>
      </c>
      <c r="AE37" s="70">
        <f t="shared" si="12"/>
        <v>93246.228699551575</v>
      </c>
      <c r="AF37" s="70">
        <v>2007</v>
      </c>
      <c r="AG37" s="70">
        <v>187145181</v>
      </c>
      <c r="AH37" s="70">
        <f t="shared" si="13"/>
        <v>67267.004336043363</v>
      </c>
      <c r="AI37" s="70">
        <v>1845</v>
      </c>
      <c r="AJ37" s="71">
        <v>124107623</v>
      </c>
      <c r="AK37" s="168"/>
      <c r="AL37" s="130"/>
      <c r="AM37" s="69" t="s">
        <v>118</v>
      </c>
      <c r="AN37" s="70">
        <f t="shared" si="14"/>
        <v>765160.3642638037</v>
      </c>
      <c r="AO37" s="70">
        <f t="shared" si="39"/>
        <v>1304</v>
      </c>
      <c r="AP37" s="70">
        <f t="shared" si="39"/>
        <v>997769115</v>
      </c>
      <c r="AQ37" s="70">
        <f t="shared" si="15"/>
        <v>799536.03571428568</v>
      </c>
      <c r="AR37" s="70">
        <v>812</v>
      </c>
      <c r="AS37" s="70">
        <v>649223261</v>
      </c>
      <c r="AT37" s="70">
        <f t="shared" si="16"/>
        <v>708426.53252032516</v>
      </c>
      <c r="AU37" s="70">
        <v>492</v>
      </c>
      <c r="AV37" s="71">
        <v>348545854</v>
      </c>
    </row>
    <row r="38" spans="1:48" ht="28.9" customHeight="1" thickBot="1">
      <c r="A38" s="169"/>
      <c r="B38" s="131"/>
      <c r="C38" s="73" t="s">
        <v>100</v>
      </c>
      <c r="D38" s="74">
        <f t="shared" si="4"/>
        <v>603524</v>
      </c>
      <c r="E38" s="74">
        <f t="shared" si="36"/>
        <v>203</v>
      </c>
      <c r="F38" s="74">
        <f t="shared" si="36"/>
        <v>122515372</v>
      </c>
      <c r="G38" s="74">
        <f t="shared" si="5"/>
        <v>659026.33620689658</v>
      </c>
      <c r="H38" s="74">
        <v>116</v>
      </c>
      <c r="I38" s="74">
        <v>76447055</v>
      </c>
      <c r="J38" s="74">
        <f t="shared" si="6"/>
        <v>529520.88505747123</v>
      </c>
      <c r="K38" s="74">
        <v>87</v>
      </c>
      <c r="L38" s="75">
        <v>46068317</v>
      </c>
      <c r="M38" s="169"/>
      <c r="N38" s="131"/>
      <c r="O38" s="73" t="s">
        <v>100</v>
      </c>
      <c r="P38" s="74">
        <f t="shared" si="40"/>
        <v>13379.65285101864</v>
      </c>
      <c r="Q38" s="74">
        <v>54434.17</v>
      </c>
      <c r="R38" s="74">
        <f t="shared" si="37"/>
        <v>8739723574</v>
      </c>
      <c r="S38" s="74">
        <f t="shared" si="41"/>
        <v>14417.203641916158</v>
      </c>
      <c r="T38" s="74">
        <v>25733.339999999997</v>
      </c>
      <c r="U38" s="74">
        <v>4452033638</v>
      </c>
      <c r="V38" s="74">
        <f t="shared" si="42"/>
        <v>12449.378455837919</v>
      </c>
      <c r="W38" s="74">
        <v>28700.83</v>
      </c>
      <c r="X38" s="75">
        <v>4287689936</v>
      </c>
      <c r="Y38" s="169"/>
      <c r="Z38" s="131"/>
      <c r="AA38" s="73" t="s">
        <v>100</v>
      </c>
      <c r="AB38" s="74">
        <f t="shared" si="11"/>
        <v>54979.256963162625</v>
      </c>
      <c r="AC38" s="74">
        <f t="shared" si="38"/>
        <v>1113</v>
      </c>
      <c r="AD38" s="74">
        <f t="shared" si="38"/>
        <v>61191913</v>
      </c>
      <c r="AE38" s="74">
        <f t="shared" si="12"/>
        <v>68675.950381679388</v>
      </c>
      <c r="AF38" s="74">
        <v>524</v>
      </c>
      <c r="AG38" s="74">
        <v>35986198</v>
      </c>
      <c r="AH38" s="74">
        <f t="shared" si="13"/>
        <v>42794.083191850594</v>
      </c>
      <c r="AI38" s="74">
        <v>589</v>
      </c>
      <c r="AJ38" s="75">
        <v>25205715</v>
      </c>
      <c r="AK38" s="169"/>
      <c r="AL38" s="131"/>
      <c r="AM38" s="73" t="s">
        <v>100</v>
      </c>
      <c r="AN38" s="74">
        <f t="shared" si="14"/>
        <v>251613.01111111112</v>
      </c>
      <c r="AO38" s="74">
        <f t="shared" si="39"/>
        <v>270</v>
      </c>
      <c r="AP38" s="74">
        <f t="shared" si="39"/>
        <v>67935513</v>
      </c>
      <c r="AQ38" s="74">
        <f t="shared" si="15"/>
        <v>265577.42038216558</v>
      </c>
      <c r="AR38" s="74">
        <v>157</v>
      </c>
      <c r="AS38" s="74">
        <v>41695655</v>
      </c>
      <c r="AT38" s="74">
        <f t="shared" si="16"/>
        <v>232211.13274336283</v>
      </c>
      <c r="AU38" s="74">
        <v>113</v>
      </c>
      <c r="AV38" s="75">
        <v>26239858</v>
      </c>
    </row>
    <row r="39" spans="1:48" s="77" customFormat="1" ht="192" customHeight="1">
      <c r="A39" s="132" t="s">
        <v>139</v>
      </c>
      <c r="B39" s="132"/>
      <c r="C39" s="132"/>
      <c r="D39" s="132"/>
      <c r="E39" s="132"/>
      <c r="F39" s="132"/>
      <c r="G39" s="132"/>
      <c r="H39" s="132"/>
      <c r="I39" s="132"/>
      <c r="J39" s="132"/>
      <c r="K39" s="132"/>
      <c r="L39" s="132"/>
      <c r="M39" s="132" t="s">
        <v>161</v>
      </c>
      <c r="N39" s="132"/>
      <c r="O39" s="132"/>
      <c r="P39" s="132"/>
      <c r="Q39" s="132"/>
      <c r="R39" s="132"/>
      <c r="S39" s="132"/>
      <c r="T39" s="132"/>
      <c r="U39" s="132"/>
      <c r="V39" s="132"/>
      <c r="W39" s="132"/>
      <c r="X39" s="132"/>
      <c r="Y39" s="132" t="s">
        <v>144</v>
      </c>
      <c r="Z39" s="132"/>
      <c r="AA39" s="132"/>
      <c r="AB39" s="132"/>
      <c r="AC39" s="132"/>
      <c r="AD39" s="132"/>
      <c r="AE39" s="132"/>
      <c r="AF39" s="132"/>
      <c r="AG39" s="132"/>
      <c r="AH39" s="132"/>
      <c r="AI39" s="132"/>
      <c r="AJ39" s="132"/>
      <c r="AK39" s="132" t="s">
        <v>140</v>
      </c>
      <c r="AL39" s="132"/>
      <c r="AM39" s="132"/>
      <c r="AN39" s="132"/>
      <c r="AO39" s="132"/>
      <c r="AP39" s="132"/>
      <c r="AQ39" s="132"/>
      <c r="AR39" s="132"/>
      <c r="AS39" s="132"/>
      <c r="AT39" s="132"/>
      <c r="AU39" s="132"/>
      <c r="AV39" s="132"/>
    </row>
    <row r="40" spans="1:48" ht="41.25" customHeight="1">
      <c r="C40" s="78" t="s">
        <v>102</v>
      </c>
      <c r="D40" s="186" t="s">
        <v>58</v>
      </c>
      <c r="E40" s="186"/>
      <c r="F40" s="186"/>
      <c r="G40" s="186" t="s">
        <v>59</v>
      </c>
      <c r="H40" s="186"/>
      <c r="I40" s="186"/>
      <c r="J40" s="186" t="s">
        <v>60</v>
      </c>
      <c r="K40" s="186"/>
      <c r="L40" s="186"/>
    </row>
    <row r="41" spans="1:48" ht="29.25" customHeight="1">
      <c r="C41" s="69" t="s">
        <v>103</v>
      </c>
      <c r="D41" s="184">
        <v>146400</v>
      </c>
      <c r="E41" s="185"/>
      <c r="F41" s="185"/>
      <c r="G41" s="184">
        <v>0</v>
      </c>
      <c r="H41" s="185"/>
      <c r="I41" s="185"/>
      <c r="J41" s="184">
        <v>146400</v>
      </c>
      <c r="K41" s="185"/>
      <c r="L41" s="185"/>
    </row>
    <row r="42" spans="1:48" ht="29.25" customHeight="1">
      <c r="C42" s="69" t="s">
        <v>64</v>
      </c>
      <c r="D42" s="184">
        <v>146400</v>
      </c>
      <c r="E42" s="185"/>
      <c r="F42" s="185"/>
      <c r="G42" s="184">
        <v>0</v>
      </c>
      <c r="H42" s="185"/>
      <c r="I42" s="185"/>
      <c r="J42" s="184">
        <v>146400</v>
      </c>
      <c r="K42" s="185"/>
      <c r="L42" s="185"/>
    </row>
    <row r="43" spans="1:48" ht="29.25" customHeight="1"/>
    <row r="44" spans="1:48" ht="14.45" customHeight="1"/>
  </sheetData>
  <mergeCells count="57">
    <mergeCell ref="D42:F42"/>
    <mergeCell ref="G42:I42"/>
    <mergeCell ref="J42:L42"/>
    <mergeCell ref="AK39:AV39"/>
    <mergeCell ref="M39:X39"/>
    <mergeCell ref="D41:F41"/>
    <mergeCell ref="G41:I41"/>
    <mergeCell ref="J41:L41"/>
    <mergeCell ref="A39:L39"/>
    <mergeCell ref="Y39:AJ39"/>
    <mergeCell ref="D40:F40"/>
    <mergeCell ref="G40:I40"/>
    <mergeCell ref="J40:L40"/>
    <mergeCell ref="Y29:Y38"/>
    <mergeCell ref="Z29:Z38"/>
    <mergeCell ref="AK29:AK38"/>
    <mergeCell ref="AL29:AL38"/>
    <mergeCell ref="AL6:AL28"/>
    <mergeCell ref="Y6:Y28"/>
    <mergeCell ref="Z6:Z28"/>
    <mergeCell ref="AK6:AK28"/>
    <mergeCell ref="A6:A28"/>
    <mergeCell ref="B6:B28"/>
    <mergeCell ref="M29:M38"/>
    <mergeCell ref="N29:N38"/>
    <mergeCell ref="A29:A38"/>
    <mergeCell ref="B29:B38"/>
    <mergeCell ref="M6:M28"/>
    <mergeCell ref="N6:N28"/>
    <mergeCell ref="A1:L1"/>
    <mergeCell ref="Y1:AJ1"/>
    <mergeCell ref="AK1:AV1"/>
    <mergeCell ref="M1:X1"/>
    <mergeCell ref="A3:A5"/>
    <mergeCell ref="B3:C5"/>
    <mergeCell ref="D3:L3"/>
    <mergeCell ref="Y3:Y5"/>
    <mergeCell ref="Z3:AA5"/>
    <mergeCell ref="AB3:AJ3"/>
    <mergeCell ref="P3:X3"/>
    <mergeCell ref="AN4:AP4"/>
    <mergeCell ref="AH4:AJ4"/>
    <mergeCell ref="AL3:AM5"/>
    <mergeCell ref="J4:L4"/>
    <mergeCell ref="AB4:AD4"/>
    <mergeCell ref="V4:X4"/>
    <mergeCell ref="AQ4:AS4"/>
    <mergeCell ref="AT4:AV4"/>
    <mergeCell ref="S4:U4"/>
    <mergeCell ref="D4:F4"/>
    <mergeCell ref="G4:I4"/>
    <mergeCell ref="AE4:AG4"/>
    <mergeCell ref="P4:R4"/>
    <mergeCell ref="AK3:AK5"/>
    <mergeCell ref="AN3:AV3"/>
    <mergeCell ref="M3:M5"/>
    <mergeCell ref="N3:O5"/>
  </mergeCells>
  <phoneticPr fontId="14" type="noConversion"/>
  <printOptions horizontalCentered="1"/>
  <pageMargins left="0.15748031496062992" right="0.15748031496062992" top="0.59055118110236227" bottom="0.59055118110236227" header="0.51181102362204722" footer="0.31496062992125984"/>
  <pageSetup paperSize="9" orientation="portrait" r:id="rId1"/>
  <headerFooter alignWithMargins="0"/>
  <rowBreaks count="1" manualBreakCount="1">
    <brk id="28" max="16383" man="1"/>
  </rowBreaks>
  <colBreaks count="3" manualBreakCount="3">
    <brk id="24" max="1048575" man="1"/>
    <brk id="36" max="1048575" man="1"/>
    <brk id="12" max="104857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AV39"/>
  <sheetViews>
    <sheetView view="pageBreakPreview" zoomScale="80" zoomScaleNormal="90" zoomScaleSheetLayoutView="80" workbookViewId="0">
      <selection activeCell="A2" sqref="A2"/>
    </sheetView>
  </sheetViews>
  <sheetFormatPr defaultColWidth="9" defaultRowHeight="16.5"/>
  <cols>
    <col min="1" max="1" width="5.625" style="20" customWidth="1"/>
    <col min="2" max="2" width="3.5" style="20" customWidth="1"/>
    <col min="3" max="3" width="9.5" style="32" customWidth="1"/>
    <col min="4" max="4" width="8.25" style="19" customWidth="1"/>
    <col min="5" max="5" width="6.375" style="19" customWidth="1"/>
    <col min="6" max="6" width="12.75" style="19" customWidth="1"/>
    <col min="7" max="7" width="8.25" style="19" customWidth="1"/>
    <col min="8" max="8" width="6.25" style="19" customWidth="1"/>
    <col min="9" max="9" width="12" style="19" customWidth="1"/>
    <col min="10" max="10" width="8.25" style="19" customWidth="1"/>
    <col min="11" max="11" width="6.25" style="19" customWidth="1"/>
    <col min="12" max="12" width="12" style="19" customWidth="1"/>
    <col min="13" max="13" width="5.625" style="19" customWidth="1"/>
    <col min="14" max="14" width="3.5" style="19" customWidth="1"/>
    <col min="15" max="15" width="9.375" style="33" customWidth="1"/>
    <col min="16" max="16" width="6.75" style="19" customWidth="1"/>
    <col min="17" max="17" width="7.375" style="19" customWidth="1"/>
    <col min="18" max="18" width="12.5" style="19" customWidth="1"/>
    <col min="19" max="19" width="6.75" style="19" customWidth="1"/>
    <col min="20" max="20" width="7.375" style="19" customWidth="1"/>
    <col min="21" max="21" width="12.5" style="19" customWidth="1"/>
    <col min="22" max="22" width="6.75" style="19" customWidth="1"/>
    <col min="23" max="23" width="7.375" style="19" customWidth="1"/>
    <col min="24" max="24" width="12.5" style="19" customWidth="1"/>
    <col min="25" max="25" width="6.625" style="19" customWidth="1"/>
    <col min="26" max="26" width="4.625" style="19" customWidth="1"/>
    <col min="27" max="27" width="9.375" style="33" customWidth="1"/>
    <col min="28" max="28" width="7.5" style="19" customWidth="1"/>
    <col min="29" max="29" width="7.25" style="19" customWidth="1"/>
    <col min="30" max="30" width="10.75" style="19" customWidth="1"/>
    <col min="31" max="31" width="7.5" style="19" customWidth="1"/>
    <col min="32" max="32" width="7.25" style="19" customWidth="1"/>
    <col min="33" max="33" width="10.75" style="19" customWidth="1"/>
    <col min="34" max="34" width="7.5" style="19" customWidth="1"/>
    <col min="35" max="35" width="7.25" style="19" customWidth="1"/>
    <col min="36" max="36" width="10.75" style="19" customWidth="1"/>
    <col min="37" max="37" width="6.625" style="19" customWidth="1"/>
    <col min="38" max="38" width="4.625" style="19" customWidth="1"/>
    <col min="39" max="39" width="9.375" style="33" customWidth="1"/>
    <col min="40" max="40" width="8.5" style="19" customWidth="1"/>
    <col min="41" max="41" width="6.75" style="19" customWidth="1"/>
    <col min="42" max="42" width="10.75" style="19" customWidth="1"/>
    <col min="43" max="43" width="8.5" style="19" customWidth="1"/>
    <col min="44" max="44" width="6.75" style="19" customWidth="1"/>
    <col min="45" max="45" width="10.75" style="19" customWidth="1"/>
    <col min="46" max="46" width="8.5" style="19" customWidth="1"/>
    <col min="47" max="47" width="6.75" style="19" customWidth="1"/>
    <col min="48" max="48" width="10.75" style="19" customWidth="1"/>
    <col min="49" max="16384" width="9" style="19"/>
  </cols>
  <sheetData>
    <row r="1" spans="1:48" ht="24" customHeight="1">
      <c r="A1" s="174" t="s">
        <v>121</v>
      </c>
      <c r="B1" s="175"/>
      <c r="C1" s="175"/>
      <c r="D1" s="175"/>
      <c r="E1" s="175"/>
      <c r="F1" s="175"/>
      <c r="G1" s="175"/>
      <c r="H1" s="175"/>
      <c r="I1" s="175"/>
      <c r="J1" s="175"/>
      <c r="K1" s="175"/>
      <c r="L1" s="175"/>
      <c r="M1" s="174" t="s">
        <v>119</v>
      </c>
      <c r="N1" s="175"/>
      <c r="O1" s="175"/>
      <c r="P1" s="175"/>
      <c r="Q1" s="175"/>
      <c r="R1" s="175"/>
      <c r="S1" s="175"/>
      <c r="T1" s="175"/>
      <c r="U1" s="175"/>
      <c r="V1" s="175"/>
      <c r="W1" s="175"/>
      <c r="X1" s="175"/>
      <c r="Y1" s="174" t="s">
        <v>123</v>
      </c>
      <c r="Z1" s="175"/>
      <c r="AA1" s="175"/>
      <c r="AB1" s="175"/>
      <c r="AC1" s="175"/>
      <c r="AD1" s="175"/>
      <c r="AE1" s="175"/>
      <c r="AF1" s="175"/>
      <c r="AG1" s="175"/>
      <c r="AH1" s="175"/>
      <c r="AI1" s="175"/>
      <c r="AJ1" s="175"/>
      <c r="AK1" s="174" t="s">
        <v>122</v>
      </c>
      <c r="AL1" s="175"/>
      <c r="AM1" s="175"/>
      <c r="AN1" s="175"/>
      <c r="AO1" s="175"/>
      <c r="AP1" s="175"/>
      <c r="AQ1" s="175"/>
      <c r="AR1" s="175"/>
      <c r="AS1" s="175"/>
      <c r="AT1" s="175"/>
      <c r="AU1" s="175"/>
      <c r="AV1" s="175"/>
    </row>
    <row r="2" spans="1:48" ht="18" customHeight="1" thickBot="1"/>
    <row r="3" spans="1:48" s="21" customFormat="1" ht="27" customHeight="1">
      <c r="A3" s="135" t="s">
        <v>62</v>
      </c>
      <c r="B3" s="141" t="s">
        <v>52</v>
      </c>
      <c r="C3" s="142"/>
      <c r="D3" s="137" t="s">
        <v>53</v>
      </c>
      <c r="E3" s="137"/>
      <c r="F3" s="138"/>
      <c r="G3" s="138"/>
      <c r="H3" s="138"/>
      <c r="I3" s="138"/>
      <c r="J3" s="138"/>
      <c r="K3" s="139"/>
      <c r="L3" s="140"/>
      <c r="M3" s="135" t="s">
        <v>62</v>
      </c>
      <c r="N3" s="141" t="s">
        <v>52</v>
      </c>
      <c r="O3" s="142"/>
      <c r="P3" s="137" t="str">
        <f>D3</f>
        <v>103年</v>
      </c>
      <c r="Q3" s="137"/>
      <c r="R3" s="138"/>
      <c r="S3" s="138"/>
      <c r="T3" s="138"/>
      <c r="U3" s="138"/>
      <c r="V3" s="138"/>
      <c r="W3" s="139"/>
      <c r="X3" s="140"/>
      <c r="Y3" s="135" t="s">
        <v>62</v>
      </c>
      <c r="Z3" s="141" t="s">
        <v>52</v>
      </c>
      <c r="AA3" s="142"/>
      <c r="AB3" s="137" t="str">
        <f>D3</f>
        <v>103年</v>
      </c>
      <c r="AC3" s="137"/>
      <c r="AD3" s="138"/>
      <c r="AE3" s="138"/>
      <c r="AF3" s="138"/>
      <c r="AG3" s="138"/>
      <c r="AH3" s="138"/>
      <c r="AI3" s="139"/>
      <c r="AJ3" s="140"/>
      <c r="AK3" s="135" t="s">
        <v>62</v>
      </c>
      <c r="AL3" s="141" t="s">
        <v>52</v>
      </c>
      <c r="AM3" s="142"/>
      <c r="AN3" s="137" t="str">
        <f>D3</f>
        <v>103年</v>
      </c>
      <c r="AO3" s="137"/>
      <c r="AP3" s="138"/>
      <c r="AQ3" s="138"/>
      <c r="AR3" s="138"/>
      <c r="AS3" s="138"/>
      <c r="AT3" s="138"/>
      <c r="AU3" s="139"/>
      <c r="AV3" s="140"/>
    </row>
    <row r="4" spans="1:48" s="21" customFormat="1" ht="27" customHeight="1">
      <c r="A4" s="136"/>
      <c r="B4" s="143"/>
      <c r="C4" s="144"/>
      <c r="D4" s="134" t="s">
        <v>12</v>
      </c>
      <c r="E4" s="134"/>
      <c r="F4" s="134"/>
      <c r="G4" s="134" t="s">
        <v>13</v>
      </c>
      <c r="H4" s="134"/>
      <c r="I4" s="134"/>
      <c r="J4" s="134" t="s">
        <v>14</v>
      </c>
      <c r="K4" s="147"/>
      <c r="L4" s="148"/>
      <c r="M4" s="136"/>
      <c r="N4" s="143"/>
      <c r="O4" s="144"/>
      <c r="P4" s="134" t="s">
        <v>12</v>
      </c>
      <c r="Q4" s="134"/>
      <c r="R4" s="134"/>
      <c r="S4" s="134" t="s">
        <v>13</v>
      </c>
      <c r="T4" s="134"/>
      <c r="U4" s="134"/>
      <c r="V4" s="134" t="s">
        <v>14</v>
      </c>
      <c r="W4" s="147"/>
      <c r="X4" s="148"/>
      <c r="Y4" s="136"/>
      <c r="Z4" s="143"/>
      <c r="AA4" s="144"/>
      <c r="AB4" s="134" t="s">
        <v>12</v>
      </c>
      <c r="AC4" s="134"/>
      <c r="AD4" s="134"/>
      <c r="AE4" s="134" t="s">
        <v>13</v>
      </c>
      <c r="AF4" s="134"/>
      <c r="AG4" s="134"/>
      <c r="AH4" s="134" t="s">
        <v>14</v>
      </c>
      <c r="AI4" s="147"/>
      <c r="AJ4" s="148"/>
      <c r="AK4" s="136"/>
      <c r="AL4" s="143"/>
      <c r="AM4" s="144"/>
      <c r="AN4" s="134" t="s">
        <v>12</v>
      </c>
      <c r="AO4" s="134"/>
      <c r="AP4" s="134"/>
      <c r="AQ4" s="134" t="s">
        <v>13</v>
      </c>
      <c r="AR4" s="134"/>
      <c r="AS4" s="134"/>
      <c r="AT4" s="134" t="s">
        <v>14</v>
      </c>
      <c r="AU4" s="147"/>
      <c r="AV4" s="148"/>
    </row>
    <row r="5" spans="1:48" ht="49.5">
      <c r="A5" s="136"/>
      <c r="B5" s="145"/>
      <c r="C5" s="146"/>
      <c r="D5" s="38" t="s">
        <v>124</v>
      </c>
      <c r="E5" s="39" t="s">
        <v>15</v>
      </c>
      <c r="F5" s="39" t="s">
        <v>16</v>
      </c>
      <c r="G5" s="38" t="s">
        <v>124</v>
      </c>
      <c r="H5" s="39" t="s">
        <v>15</v>
      </c>
      <c r="I5" s="39" t="s">
        <v>16</v>
      </c>
      <c r="J5" s="38" t="s">
        <v>124</v>
      </c>
      <c r="K5" s="39" t="s">
        <v>15</v>
      </c>
      <c r="L5" s="40" t="s">
        <v>16</v>
      </c>
      <c r="M5" s="136"/>
      <c r="N5" s="145"/>
      <c r="O5" s="146"/>
      <c r="P5" s="38" t="s">
        <v>167</v>
      </c>
      <c r="Q5" s="83" t="s">
        <v>158</v>
      </c>
      <c r="R5" s="39" t="s">
        <v>16</v>
      </c>
      <c r="S5" s="38" t="s">
        <v>167</v>
      </c>
      <c r="T5" s="83" t="s">
        <v>158</v>
      </c>
      <c r="U5" s="39" t="s">
        <v>16</v>
      </c>
      <c r="V5" s="38" t="s">
        <v>167</v>
      </c>
      <c r="W5" s="83" t="s">
        <v>158</v>
      </c>
      <c r="X5" s="40" t="s">
        <v>16</v>
      </c>
      <c r="Y5" s="136"/>
      <c r="Z5" s="145"/>
      <c r="AA5" s="146"/>
      <c r="AB5" s="38" t="s">
        <v>124</v>
      </c>
      <c r="AC5" s="39" t="s">
        <v>15</v>
      </c>
      <c r="AD5" s="39" t="s">
        <v>16</v>
      </c>
      <c r="AE5" s="38" t="s">
        <v>124</v>
      </c>
      <c r="AF5" s="39" t="s">
        <v>15</v>
      </c>
      <c r="AG5" s="39" t="s">
        <v>16</v>
      </c>
      <c r="AH5" s="38" t="s">
        <v>124</v>
      </c>
      <c r="AI5" s="39" t="s">
        <v>15</v>
      </c>
      <c r="AJ5" s="40" t="s">
        <v>16</v>
      </c>
      <c r="AK5" s="136"/>
      <c r="AL5" s="145"/>
      <c r="AM5" s="146"/>
      <c r="AN5" s="38" t="s">
        <v>124</v>
      </c>
      <c r="AO5" s="39" t="s">
        <v>15</v>
      </c>
      <c r="AP5" s="39" t="s">
        <v>16</v>
      </c>
      <c r="AQ5" s="38" t="s">
        <v>124</v>
      </c>
      <c r="AR5" s="39" t="s">
        <v>15</v>
      </c>
      <c r="AS5" s="39" t="s">
        <v>16</v>
      </c>
      <c r="AT5" s="38" t="s">
        <v>124</v>
      </c>
      <c r="AU5" s="39" t="s">
        <v>15</v>
      </c>
      <c r="AV5" s="40" t="s">
        <v>16</v>
      </c>
    </row>
    <row r="6" spans="1:48" ht="24" customHeight="1">
      <c r="A6" s="180" t="s">
        <v>145</v>
      </c>
      <c r="B6" s="153" t="s">
        <v>17</v>
      </c>
      <c r="C6" s="41" t="s">
        <v>76</v>
      </c>
      <c r="D6" s="42">
        <f>F6/E6</f>
        <v>1246946.1739816202</v>
      </c>
      <c r="E6" s="42">
        <f>SUM(E7:E28)</f>
        <v>76715</v>
      </c>
      <c r="F6" s="42">
        <f>SUM(F7:F28)</f>
        <v>95659475737</v>
      </c>
      <c r="G6" s="42">
        <f>I6/H6</f>
        <v>1254386.7013301088</v>
      </c>
      <c r="H6" s="42">
        <f t="shared" ref="H6" si="0">SUM(H7:H28)</f>
        <v>37215</v>
      </c>
      <c r="I6" s="42">
        <f t="shared" ref="I6:L6" si="1">SUM(I7:I28)</f>
        <v>46682001090</v>
      </c>
      <c r="J6" s="42">
        <f>L6/K6</f>
        <v>1239936.0670126583</v>
      </c>
      <c r="K6" s="42">
        <f t="shared" ref="K6" si="2">SUM(K7:K28)</f>
        <v>39500</v>
      </c>
      <c r="L6" s="43">
        <f t="shared" si="1"/>
        <v>48977474647</v>
      </c>
      <c r="M6" s="180" t="s">
        <v>146</v>
      </c>
      <c r="N6" s="153" t="s">
        <v>17</v>
      </c>
      <c r="O6" s="41" t="s">
        <v>76</v>
      </c>
      <c r="P6" s="42">
        <f>R6/Q6/12</f>
        <v>15612.903519028951</v>
      </c>
      <c r="Q6" s="42">
        <v>562455.92000000004</v>
      </c>
      <c r="R6" s="42">
        <f>U6+X6</f>
        <v>105378840152</v>
      </c>
      <c r="S6" s="42">
        <f>U6/T6/12</f>
        <v>16666.22272276767</v>
      </c>
      <c r="T6" s="42">
        <v>256109.5</v>
      </c>
      <c r="U6" s="42">
        <f>SUM(U7:U28)+(51782)</f>
        <v>51220535621</v>
      </c>
      <c r="V6" s="42">
        <f>X6/W6/12</f>
        <v>14732.315279708508</v>
      </c>
      <c r="W6" s="42">
        <v>306346.42</v>
      </c>
      <c r="X6" s="43">
        <f>SUM(X7:X28)+(0)</f>
        <v>54158304531</v>
      </c>
      <c r="Y6" s="180" t="s">
        <v>150</v>
      </c>
      <c r="Z6" s="153" t="s">
        <v>17</v>
      </c>
      <c r="AA6" s="41" t="s">
        <v>76</v>
      </c>
      <c r="AB6" s="42">
        <f>AD6/AC6</f>
        <v>112278.27045038041</v>
      </c>
      <c r="AC6" s="42">
        <f>AF6+AI6</f>
        <v>18007</v>
      </c>
      <c r="AD6" s="42">
        <f>AG6+AJ6</f>
        <v>2021794816</v>
      </c>
      <c r="AE6" s="42">
        <f>AG6/AF6</f>
        <v>136081.57394995532</v>
      </c>
      <c r="AF6" s="42">
        <f>SUM(AF7:AF28)+(1)</f>
        <v>8952</v>
      </c>
      <c r="AG6" s="42">
        <f>SUM(AG7:AG28)+(10608)</f>
        <v>1218202250</v>
      </c>
      <c r="AH6" s="42">
        <f>AJ6/AI6</f>
        <v>88745.727885146334</v>
      </c>
      <c r="AI6" s="42">
        <f>SUM(AI7:AI28)+(4)</f>
        <v>9055</v>
      </c>
      <c r="AJ6" s="43">
        <f>SUM(AJ7:AJ28)+(13830)</f>
        <v>803592566</v>
      </c>
      <c r="AK6" s="180" t="s">
        <v>152</v>
      </c>
      <c r="AL6" s="153" t="s">
        <v>17</v>
      </c>
      <c r="AM6" s="41" t="s">
        <v>76</v>
      </c>
      <c r="AN6" s="42">
        <f>AP6/AO6</f>
        <v>899839.85428050999</v>
      </c>
      <c r="AO6" s="42">
        <f>SUM(AO7:AO28)</f>
        <v>2745</v>
      </c>
      <c r="AP6" s="42">
        <f>SUM(AP7:AP28)</f>
        <v>2470060400</v>
      </c>
      <c r="AQ6" s="42">
        <f>AS6/AR6</f>
        <v>933069.54935370153</v>
      </c>
      <c r="AR6" s="42">
        <f t="shared" ref="AR6:AS6" si="3">SUM(AR7:AR28)</f>
        <v>1702</v>
      </c>
      <c r="AS6" s="42">
        <f t="shared" si="3"/>
        <v>1588084373</v>
      </c>
      <c r="AT6" s="42">
        <f>AV6/AU6</f>
        <v>845614.5992329818</v>
      </c>
      <c r="AU6" s="42">
        <f t="shared" ref="AU6:AV6" si="4">SUM(AU7:AU28)</f>
        <v>1043</v>
      </c>
      <c r="AV6" s="43">
        <f t="shared" si="4"/>
        <v>881976027</v>
      </c>
    </row>
    <row r="7" spans="1:48" ht="24" customHeight="1">
      <c r="A7" s="181"/>
      <c r="B7" s="154"/>
      <c r="C7" s="41" t="s">
        <v>95</v>
      </c>
      <c r="D7" s="42">
        <f t="shared" ref="D7:D38" si="5">F7/E7</f>
        <v>1300601.410285997</v>
      </c>
      <c r="E7" s="42">
        <f>H7+K7</f>
        <v>12133</v>
      </c>
      <c r="F7" s="42">
        <f>I7+L7</f>
        <v>15780196911</v>
      </c>
      <c r="G7" s="42">
        <f t="shared" ref="G7:G38" si="6">I7/H7</f>
        <v>1311668.3639175259</v>
      </c>
      <c r="H7" s="42">
        <v>5820</v>
      </c>
      <c r="I7" s="42">
        <v>7633909878</v>
      </c>
      <c r="J7" s="42">
        <f t="shared" ref="J7:J38" si="7">L7/K7</f>
        <v>1290398.7063202914</v>
      </c>
      <c r="K7" s="42">
        <v>6313</v>
      </c>
      <c r="L7" s="43">
        <v>8146287033</v>
      </c>
      <c r="M7" s="181"/>
      <c r="N7" s="154"/>
      <c r="O7" s="41" t="s">
        <v>95</v>
      </c>
      <c r="P7" s="42">
        <f t="shared" ref="P7:P28" si="8">R7/Q7/12</f>
        <v>15833.828770648208</v>
      </c>
      <c r="Q7" s="42">
        <v>79110.58</v>
      </c>
      <c r="R7" s="42">
        <f>U7+X7</f>
        <v>15031480532</v>
      </c>
      <c r="S7" s="42">
        <f t="shared" ref="S7:S28" si="9">U7/T7/12</f>
        <v>16692.752571733508</v>
      </c>
      <c r="T7" s="42">
        <v>36123.17</v>
      </c>
      <c r="U7" s="42">
        <v>7235941667</v>
      </c>
      <c r="V7" s="79">
        <f t="shared" ref="V7:V28" si="10">X7/W7/12</f>
        <v>15112.054613884713</v>
      </c>
      <c r="W7" s="42">
        <v>42987.42</v>
      </c>
      <c r="X7" s="43">
        <v>7795538865</v>
      </c>
      <c r="Y7" s="181"/>
      <c r="Z7" s="154"/>
      <c r="AA7" s="41" t="s">
        <v>95</v>
      </c>
      <c r="AB7" s="42">
        <f t="shared" ref="AB7:AB38" si="11">AD7/AC7</f>
        <v>116797.15129007037</v>
      </c>
      <c r="AC7" s="42">
        <f>AF7+AI7</f>
        <v>2558</v>
      </c>
      <c r="AD7" s="42">
        <f>AG7+AJ7</f>
        <v>298767113</v>
      </c>
      <c r="AE7" s="42">
        <f t="shared" ref="AE7:AE38" si="12">AG7/AF7</f>
        <v>139607.03042433946</v>
      </c>
      <c r="AF7" s="42">
        <v>1249</v>
      </c>
      <c r="AG7" s="42">
        <v>174369181</v>
      </c>
      <c r="AH7" s="42">
        <f t="shared" ref="AH7:AH38" si="13">AJ7/AI7</f>
        <v>95032.797555385798</v>
      </c>
      <c r="AI7" s="42">
        <v>1309</v>
      </c>
      <c r="AJ7" s="43">
        <v>124397932</v>
      </c>
      <c r="AK7" s="181"/>
      <c r="AL7" s="154"/>
      <c r="AM7" s="41" t="s">
        <v>95</v>
      </c>
      <c r="AN7" s="42">
        <f t="shared" ref="AN7:AN38" si="14">AP7/AO7</f>
        <v>947978.10743801657</v>
      </c>
      <c r="AO7" s="42">
        <f>AR7+AU7</f>
        <v>363</v>
      </c>
      <c r="AP7" s="42">
        <f>AS7+AV7</f>
        <v>344116053</v>
      </c>
      <c r="AQ7" s="42">
        <f t="shared" ref="AQ7:AQ38" si="15">AS7/AR7</f>
        <v>985116.4</v>
      </c>
      <c r="AR7" s="42">
        <v>230</v>
      </c>
      <c r="AS7" s="42">
        <v>226576772</v>
      </c>
      <c r="AT7" s="42">
        <f t="shared" ref="AT7:AT38" si="16">AV7/AU7</f>
        <v>883753.99248120305</v>
      </c>
      <c r="AU7" s="42">
        <v>133</v>
      </c>
      <c r="AV7" s="43">
        <v>117539281</v>
      </c>
    </row>
    <row r="8" spans="1:48" ht="24" customHeight="1">
      <c r="A8" s="181"/>
      <c r="B8" s="154"/>
      <c r="C8" s="41" t="s">
        <v>96</v>
      </c>
      <c r="D8" s="42">
        <f t="shared" si="5"/>
        <v>1264491.3956650791</v>
      </c>
      <c r="E8" s="42">
        <f t="shared" ref="E8:E28" si="17">H8+K8</f>
        <v>14487</v>
      </c>
      <c r="F8" s="42">
        <f t="shared" ref="F8:F28" si="18">I8+L8</f>
        <v>18318686849</v>
      </c>
      <c r="G8" s="42">
        <f t="shared" si="6"/>
        <v>1267420.9751147977</v>
      </c>
      <c r="H8" s="42">
        <v>6751</v>
      </c>
      <c r="I8" s="42">
        <v>8556359003</v>
      </c>
      <c r="J8" s="42">
        <f t="shared" si="7"/>
        <v>1261934.8301447777</v>
      </c>
      <c r="K8" s="42">
        <v>7736</v>
      </c>
      <c r="L8" s="43">
        <v>9762327846</v>
      </c>
      <c r="M8" s="181"/>
      <c r="N8" s="154"/>
      <c r="O8" s="41" t="s">
        <v>96</v>
      </c>
      <c r="P8" s="42">
        <f t="shared" si="8"/>
        <v>15890.473979399248</v>
      </c>
      <c r="Q8" s="42">
        <v>116529.08</v>
      </c>
      <c r="R8" s="42">
        <f t="shared" ref="R8:R28" si="19">U8+X8</f>
        <v>22220427763</v>
      </c>
      <c r="S8" s="42">
        <f t="shared" si="9"/>
        <v>16863.782411357217</v>
      </c>
      <c r="T8" s="42">
        <v>55276.92</v>
      </c>
      <c r="U8" s="42">
        <v>11186135415</v>
      </c>
      <c r="V8" s="79">
        <f t="shared" si="10"/>
        <v>15012.110792700623</v>
      </c>
      <c r="W8" s="42">
        <v>61252.17</v>
      </c>
      <c r="X8" s="43">
        <v>11034292348</v>
      </c>
      <c r="Y8" s="181"/>
      <c r="Z8" s="154"/>
      <c r="AA8" s="41" t="s">
        <v>96</v>
      </c>
      <c r="AB8" s="42">
        <f t="shared" si="11"/>
        <v>114314.51450443191</v>
      </c>
      <c r="AC8" s="42">
        <f t="shared" ref="AC8:AC28" si="20">AF8+AI8</f>
        <v>4964</v>
      </c>
      <c r="AD8" s="42">
        <f t="shared" ref="AD8:AD28" si="21">AG8+AJ8</f>
        <v>567457250</v>
      </c>
      <c r="AE8" s="42">
        <f t="shared" si="12"/>
        <v>136931.53592814371</v>
      </c>
      <c r="AF8" s="42">
        <v>2338</v>
      </c>
      <c r="AG8" s="42">
        <v>320145931</v>
      </c>
      <c r="AH8" s="42">
        <f t="shared" si="13"/>
        <v>94177.958492003047</v>
      </c>
      <c r="AI8" s="42">
        <v>2626</v>
      </c>
      <c r="AJ8" s="43">
        <v>247311319</v>
      </c>
      <c r="AK8" s="181"/>
      <c r="AL8" s="154"/>
      <c r="AM8" s="41" t="s">
        <v>96</v>
      </c>
      <c r="AN8" s="42">
        <f t="shared" si="14"/>
        <v>951570.94292237447</v>
      </c>
      <c r="AO8" s="42">
        <f t="shared" ref="AO8:AO28" si="22">AR8+AU8</f>
        <v>438</v>
      </c>
      <c r="AP8" s="42">
        <f t="shared" ref="AP8:AP28" si="23">AS8+AV8</f>
        <v>416788073</v>
      </c>
      <c r="AQ8" s="42">
        <f t="shared" si="15"/>
        <v>958299.71272727277</v>
      </c>
      <c r="AR8" s="42">
        <v>275</v>
      </c>
      <c r="AS8" s="42">
        <v>263532421</v>
      </c>
      <c r="AT8" s="42">
        <f t="shared" si="16"/>
        <v>940218.72392638039</v>
      </c>
      <c r="AU8" s="42">
        <v>163</v>
      </c>
      <c r="AV8" s="43">
        <v>153255652</v>
      </c>
    </row>
    <row r="9" spans="1:48" ht="24" customHeight="1">
      <c r="A9" s="181"/>
      <c r="B9" s="154"/>
      <c r="C9" s="41" t="s">
        <v>97</v>
      </c>
      <c r="D9" s="42">
        <f t="shared" si="5"/>
        <v>1179820.4317368567</v>
      </c>
      <c r="E9" s="42">
        <f t="shared" si="17"/>
        <v>7266</v>
      </c>
      <c r="F9" s="42">
        <f t="shared" si="18"/>
        <v>8572575257</v>
      </c>
      <c r="G9" s="42">
        <f t="shared" si="6"/>
        <v>1209573.5775342465</v>
      </c>
      <c r="H9" s="42">
        <v>3650</v>
      </c>
      <c r="I9" s="42">
        <v>4414943558</v>
      </c>
      <c r="J9" s="42">
        <f t="shared" si="7"/>
        <v>1149787.5273783186</v>
      </c>
      <c r="K9" s="42">
        <v>3616</v>
      </c>
      <c r="L9" s="43">
        <v>4157631699</v>
      </c>
      <c r="M9" s="181"/>
      <c r="N9" s="154"/>
      <c r="O9" s="41" t="s">
        <v>97</v>
      </c>
      <c r="P9" s="42">
        <f t="shared" si="8"/>
        <v>14711.892093729795</v>
      </c>
      <c r="Q9" s="42">
        <v>51057.83</v>
      </c>
      <c r="R9" s="42">
        <f t="shared" si="19"/>
        <v>9013887426</v>
      </c>
      <c r="S9" s="42">
        <f t="shared" si="9"/>
        <v>15815.170179601026</v>
      </c>
      <c r="T9" s="42">
        <v>25394.25</v>
      </c>
      <c r="U9" s="42">
        <v>4819372624</v>
      </c>
      <c r="V9" s="79">
        <f t="shared" si="10"/>
        <v>13620.192512761923</v>
      </c>
      <c r="W9" s="42">
        <v>25663.58</v>
      </c>
      <c r="X9" s="43">
        <v>4194514802</v>
      </c>
      <c r="Y9" s="181"/>
      <c r="Z9" s="154"/>
      <c r="AA9" s="41" t="s">
        <v>97</v>
      </c>
      <c r="AB9" s="42">
        <f t="shared" si="11"/>
        <v>110270.6626609442</v>
      </c>
      <c r="AC9" s="42">
        <f t="shared" si="20"/>
        <v>2330</v>
      </c>
      <c r="AD9" s="42">
        <f t="shared" si="21"/>
        <v>256930644</v>
      </c>
      <c r="AE9" s="42">
        <f t="shared" si="12"/>
        <v>135233.34046345812</v>
      </c>
      <c r="AF9" s="42">
        <v>1122</v>
      </c>
      <c r="AG9" s="42">
        <v>151731808</v>
      </c>
      <c r="AH9" s="42">
        <f t="shared" si="13"/>
        <v>87085.129139072844</v>
      </c>
      <c r="AI9" s="42">
        <v>1208</v>
      </c>
      <c r="AJ9" s="43">
        <v>105198836</v>
      </c>
      <c r="AK9" s="181"/>
      <c r="AL9" s="154"/>
      <c r="AM9" s="41" t="s">
        <v>97</v>
      </c>
      <c r="AN9" s="42">
        <f t="shared" si="14"/>
        <v>849116.9705882353</v>
      </c>
      <c r="AO9" s="42">
        <f t="shared" si="22"/>
        <v>238</v>
      </c>
      <c r="AP9" s="42">
        <f t="shared" si="23"/>
        <v>202089839</v>
      </c>
      <c r="AQ9" s="42">
        <f t="shared" si="15"/>
        <v>904869.27152317879</v>
      </c>
      <c r="AR9" s="42">
        <v>151</v>
      </c>
      <c r="AS9" s="42">
        <v>136635260</v>
      </c>
      <c r="AT9" s="42">
        <f t="shared" si="16"/>
        <v>752351.48275862064</v>
      </c>
      <c r="AU9" s="42">
        <v>87</v>
      </c>
      <c r="AV9" s="43">
        <v>65454579</v>
      </c>
    </row>
    <row r="10" spans="1:48" ht="24" customHeight="1">
      <c r="A10" s="181"/>
      <c r="B10" s="154"/>
      <c r="C10" s="41" t="s">
        <v>98</v>
      </c>
      <c r="D10" s="42">
        <f t="shared" si="5"/>
        <v>1108359.7152611183</v>
      </c>
      <c r="E10" s="42">
        <f t="shared" si="17"/>
        <v>5419</v>
      </c>
      <c r="F10" s="42">
        <f t="shared" si="18"/>
        <v>6006201297</v>
      </c>
      <c r="G10" s="42">
        <f t="shared" si="6"/>
        <v>1149362.0858676208</v>
      </c>
      <c r="H10" s="42">
        <v>2795</v>
      </c>
      <c r="I10" s="42">
        <v>3212467030</v>
      </c>
      <c r="J10" s="42">
        <f t="shared" si="7"/>
        <v>1064685.3151676829</v>
      </c>
      <c r="K10" s="42">
        <v>2624</v>
      </c>
      <c r="L10" s="43">
        <v>2793734267</v>
      </c>
      <c r="M10" s="181"/>
      <c r="N10" s="154"/>
      <c r="O10" s="41" t="s">
        <v>98</v>
      </c>
      <c r="P10" s="42">
        <f t="shared" si="8"/>
        <v>14236.048524883285</v>
      </c>
      <c r="Q10" s="42">
        <v>40632.83</v>
      </c>
      <c r="R10" s="42">
        <f t="shared" si="19"/>
        <v>6941411275</v>
      </c>
      <c r="S10" s="42">
        <f t="shared" si="9"/>
        <v>15487.913081858786</v>
      </c>
      <c r="T10" s="42">
        <v>18974.75</v>
      </c>
      <c r="U10" s="42">
        <v>3526551345</v>
      </c>
      <c r="V10" s="79">
        <f t="shared" si="10"/>
        <v>13139.283853108553</v>
      </c>
      <c r="W10" s="42">
        <v>21658.080000000002</v>
      </c>
      <c r="X10" s="43">
        <v>3414859930</v>
      </c>
      <c r="Y10" s="181"/>
      <c r="Z10" s="154"/>
      <c r="AA10" s="41" t="s">
        <v>98</v>
      </c>
      <c r="AB10" s="42">
        <f t="shared" si="11"/>
        <v>108621.29985955056</v>
      </c>
      <c r="AC10" s="42">
        <f t="shared" si="20"/>
        <v>1424</v>
      </c>
      <c r="AD10" s="42">
        <f t="shared" si="21"/>
        <v>154676731</v>
      </c>
      <c r="AE10" s="42">
        <f t="shared" si="12"/>
        <v>136253.20027816412</v>
      </c>
      <c r="AF10" s="42">
        <v>719</v>
      </c>
      <c r="AG10" s="42">
        <v>97966051</v>
      </c>
      <c r="AH10" s="42">
        <f t="shared" si="13"/>
        <v>80440.680851063837</v>
      </c>
      <c r="AI10" s="42">
        <v>705</v>
      </c>
      <c r="AJ10" s="43">
        <v>56710680</v>
      </c>
      <c r="AK10" s="181"/>
      <c r="AL10" s="154"/>
      <c r="AM10" s="41" t="s">
        <v>98</v>
      </c>
      <c r="AN10" s="42">
        <f t="shared" si="14"/>
        <v>812572.24418604653</v>
      </c>
      <c r="AO10" s="42">
        <f t="shared" si="22"/>
        <v>258</v>
      </c>
      <c r="AP10" s="42">
        <f t="shared" si="23"/>
        <v>209643639</v>
      </c>
      <c r="AQ10" s="42">
        <f t="shared" si="15"/>
        <v>846009.56140350876</v>
      </c>
      <c r="AR10" s="42">
        <v>171</v>
      </c>
      <c r="AS10" s="42">
        <v>144667635</v>
      </c>
      <c r="AT10" s="42">
        <f t="shared" si="16"/>
        <v>746850.62068965519</v>
      </c>
      <c r="AU10" s="42">
        <v>87</v>
      </c>
      <c r="AV10" s="43">
        <v>64976004</v>
      </c>
    </row>
    <row r="11" spans="1:48" ht="24" customHeight="1">
      <c r="A11" s="181"/>
      <c r="B11" s="154"/>
      <c r="C11" s="41" t="s">
        <v>99</v>
      </c>
      <c r="D11" s="42">
        <f t="shared" si="5"/>
        <v>1178387.5243295848</v>
      </c>
      <c r="E11" s="42">
        <f t="shared" si="17"/>
        <v>9248</v>
      </c>
      <c r="F11" s="42">
        <f t="shared" si="18"/>
        <v>10897727825</v>
      </c>
      <c r="G11" s="42">
        <f t="shared" si="6"/>
        <v>1200238.2633986927</v>
      </c>
      <c r="H11" s="42">
        <v>4590</v>
      </c>
      <c r="I11" s="42">
        <v>5509093629</v>
      </c>
      <c r="J11" s="42">
        <f t="shared" si="7"/>
        <v>1156855.7741519965</v>
      </c>
      <c r="K11" s="42">
        <v>4658</v>
      </c>
      <c r="L11" s="43">
        <v>5388634196</v>
      </c>
      <c r="M11" s="181"/>
      <c r="N11" s="154"/>
      <c r="O11" s="41" t="s">
        <v>99</v>
      </c>
      <c r="P11" s="42">
        <f t="shared" si="8"/>
        <v>15569.273232331858</v>
      </c>
      <c r="Q11" s="42">
        <v>73183.75</v>
      </c>
      <c r="R11" s="42">
        <f t="shared" si="19"/>
        <v>13673013599</v>
      </c>
      <c r="S11" s="42">
        <f t="shared" si="9"/>
        <v>17188.291375387034</v>
      </c>
      <c r="T11" s="42">
        <v>32653.33</v>
      </c>
      <c r="U11" s="42">
        <v>6735059405</v>
      </c>
      <c r="V11" s="79">
        <f t="shared" si="10"/>
        <v>14264.911380143605</v>
      </c>
      <c r="W11" s="42">
        <v>40530.42</v>
      </c>
      <c r="X11" s="43">
        <v>6937954194</v>
      </c>
      <c r="Y11" s="181"/>
      <c r="Z11" s="154"/>
      <c r="AA11" s="41" t="s">
        <v>99</v>
      </c>
      <c r="AB11" s="42">
        <f t="shared" si="11"/>
        <v>102070.47177940543</v>
      </c>
      <c r="AC11" s="42">
        <f t="shared" si="20"/>
        <v>2321</v>
      </c>
      <c r="AD11" s="42">
        <f t="shared" si="21"/>
        <v>236905565</v>
      </c>
      <c r="AE11" s="42">
        <f t="shared" si="12"/>
        <v>128109.03690987124</v>
      </c>
      <c r="AF11" s="42">
        <v>1165</v>
      </c>
      <c r="AG11" s="42">
        <v>149247028</v>
      </c>
      <c r="AH11" s="42">
        <f t="shared" si="13"/>
        <v>75829.184256055363</v>
      </c>
      <c r="AI11" s="42">
        <v>1156</v>
      </c>
      <c r="AJ11" s="43">
        <v>87658537</v>
      </c>
      <c r="AK11" s="181"/>
      <c r="AL11" s="154"/>
      <c r="AM11" s="41" t="s">
        <v>99</v>
      </c>
      <c r="AN11" s="42">
        <f t="shared" si="14"/>
        <v>910659.7979274611</v>
      </c>
      <c r="AO11" s="42">
        <f t="shared" si="22"/>
        <v>386</v>
      </c>
      <c r="AP11" s="42">
        <f t="shared" si="23"/>
        <v>351514682</v>
      </c>
      <c r="AQ11" s="42">
        <f t="shared" si="15"/>
        <v>965400.37662337662</v>
      </c>
      <c r="AR11" s="42">
        <v>231</v>
      </c>
      <c r="AS11" s="42">
        <v>223007487</v>
      </c>
      <c r="AT11" s="42">
        <f t="shared" si="16"/>
        <v>829078.67741935479</v>
      </c>
      <c r="AU11" s="42">
        <v>155</v>
      </c>
      <c r="AV11" s="43">
        <v>128507195</v>
      </c>
    </row>
    <row r="12" spans="1:48" ht="24" customHeight="1">
      <c r="A12" s="182"/>
      <c r="B12" s="155"/>
      <c r="C12" s="44" t="s">
        <v>77</v>
      </c>
      <c r="D12" s="45">
        <f t="shared" si="5"/>
        <v>1527017.268844221</v>
      </c>
      <c r="E12" s="45">
        <f t="shared" si="17"/>
        <v>2388</v>
      </c>
      <c r="F12" s="45">
        <f t="shared" si="18"/>
        <v>3646517238</v>
      </c>
      <c r="G12" s="45">
        <f t="shared" si="6"/>
        <v>1454628.0201342283</v>
      </c>
      <c r="H12" s="45">
        <v>1043</v>
      </c>
      <c r="I12" s="45">
        <v>1517177025</v>
      </c>
      <c r="J12" s="45">
        <f t="shared" si="7"/>
        <v>1583152.5747211897</v>
      </c>
      <c r="K12" s="45">
        <v>1345</v>
      </c>
      <c r="L12" s="46">
        <v>2129340213</v>
      </c>
      <c r="M12" s="182"/>
      <c r="N12" s="155"/>
      <c r="O12" s="44" t="s">
        <v>77</v>
      </c>
      <c r="P12" s="45">
        <f t="shared" si="8"/>
        <v>17632.735873674006</v>
      </c>
      <c r="Q12" s="45">
        <v>16159.25</v>
      </c>
      <c r="R12" s="45">
        <f t="shared" si="19"/>
        <v>3419181446</v>
      </c>
      <c r="S12" s="45">
        <f t="shared" si="9"/>
        <v>18307.851191017417</v>
      </c>
      <c r="T12" s="45">
        <v>5718.92</v>
      </c>
      <c r="U12" s="45">
        <v>1256413636</v>
      </c>
      <c r="V12" s="81">
        <f t="shared" si="10"/>
        <v>17262.926634822208</v>
      </c>
      <c r="W12" s="45">
        <v>10440.33</v>
      </c>
      <c r="X12" s="46">
        <v>2162767810</v>
      </c>
      <c r="Y12" s="182"/>
      <c r="Z12" s="155"/>
      <c r="AA12" s="44" t="s">
        <v>77</v>
      </c>
      <c r="AB12" s="45">
        <f t="shared" si="11"/>
        <v>120084.47727272728</v>
      </c>
      <c r="AC12" s="45">
        <f t="shared" si="20"/>
        <v>88</v>
      </c>
      <c r="AD12" s="45">
        <f t="shared" si="21"/>
        <v>10567434</v>
      </c>
      <c r="AE12" s="45">
        <f t="shared" si="12"/>
        <v>135572.88461538462</v>
      </c>
      <c r="AF12" s="45">
        <v>52</v>
      </c>
      <c r="AG12" s="45">
        <v>7049790</v>
      </c>
      <c r="AH12" s="45">
        <f t="shared" si="13"/>
        <v>97712.333333333328</v>
      </c>
      <c r="AI12" s="45">
        <v>36</v>
      </c>
      <c r="AJ12" s="46">
        <v>3517644</v>
      </c>
      <c r="AK12" s="182"/>
      <c r="AL12" s="155"/>
      <c r="AM12" s="44" t="s">
        <v>77</v>
      </c>
      <c r="AN12" s="45">
        <f t="shared" si="14"/>
        <v>841514.84269662923</v>
      </c>
      <c r="AO12" s="45">
        <f t="shared" si="22"/>
        <v>89</v>
      </c>
      <c r="AP12" s="45">
        <f t="shared" si="23"/>
        <v>74894821</v>
      </c>
      <c r="AQ12" s="45">
        <f t="shared" si="15"/>
        <v>978878.54761904757</v>
      </c>
      <c r="AR12" s="45">
        <v>42</v>
      </c>
      <c r="AS12" s="45">
        <v>41112899</v>
      </c>
      <c r="AT12" s="45">
        <f t="shared" si="16"/>
        <v>718764.29787234042</v>
      </c>
      <c r="AU12" s="45">
        <v>47</v>
      </c>
      <c r="AV12" s="46">
        <v>33781922</v>
      </c>
    </row>
    <row r="13" spans="1:48" ht="24" customHeight="1">
      <c r="A13" s="182"/>
      <c r="B13" s="155"/>
      <c r="C13" s="44" t="s">
        <v>78</v>
      </c>
      <c r="D13" s="45">
        <f t="shared" si="5"/>
        <v>1291576.5490856592</v>
      </c>
      <c r="E13" s="45">
        <f t="shared" si="17"/>
        <v>6234</v>
      </c>
      <c r="F13" s="45">
        <f t="shared" si="18"/>
        <v>8051688207</v>
      </c>
      <c r="G13" s="45">
        <f t="shared" si="6"/>
        <v>1322639.0961021506</v>
      </c>
      <c r="H13" s="45">
        <v>2976</v>
      </c>
      <c r="I13" s="45">
        <v>3936173950</v>
      </c>
      <c r="J13" s="45">
        <f t="shared" si="7"/>
        <v>1263202.6571516267</v>
      </c>
      <c r="K13" s="45">
        <v>3258</v>
      </c>
      <c r="L13" s="46">
        <v>4115514257</v>
      </c>
      <c r="M13" s="182"/>
      <c r="N13" s="155"/>
      <c r="O13" s="44" t="s">
        <v>78</v>
      </c>
      <c r="P13" s="45">
        <f t="shared" si="8"/>
        <v>16028.421273445214</v>
      </c>
      <c r="Q13" s="45">
        <v>38494</v>
      </c>
      <c r="R13" s="45">
        <f t="shared" si="19"/>
        <v>7403976582</v>
      </c>
      <c r="S13" s="45">
        <f t="shared" si="9"/>
        <v>17318.583588657712</v>
      </c>
      <c r="T13" s="45">
        <v>19145.580000000002</v>
      </c>
      <c r="U13" s="45">
        <v>3978891931</v>
      </c>
      <c r="V13" s="81">
        <f t="shared" si="10"/>
        <v>14751.784430804515</v>
      </c>
      <c r="W13" s="45">
        <v>19348.419999999998</v>
      </c>
      <c r="X13" s="46">
        <v>3425084651</v>
      </c>
      <c r="Y13" s="182"/>
      <c r="Z13" s="155"/>
      <c r="AA13" s="44" t="s">
        <v>78</v>
      </c>
      <c r="AB13" s="45">
        <f t="shared" si="11"/>
        <v>124407.7126984127</v>
      </c>
      <c r="AC13" s="45">
        <f t="shared" si="20"/>
        <v>1260</v>
      </c>
      <c r="AD13" s="45">
        <f t="shared" si="21"/>
        <v>156753718</v>
      </c>
      <c r="AE13" s="45">
        <f t="shared" si="12"/>
        <v>153130.05095541402</v>
      </c>
      <c r="AF13" s="45">
        <v>628</v>
      </c>
      <c r="AG13" s="45">
        <v>96165672</v>
      </c>
      <c r="AH13" s="45">
        <f t="shared" si="13"/>
        <v>95867.161392405062</v>
      </c>
      <c r="AI13" s="45">
        <v>632</v>
      </c>
      <c r="AJ13" s="46">
        <v>60588046</v>
      </c>
      <c r="AK13" s="182"/>
      <c r="AL13" s="155"/>
      <c r="AM13" s="44" t="s">
        <v>78</v>
      </c>
      <c r="AN13" s="45">
        <f t="shared" si="14"/>
        <v>1076104.2765957448</v>
      </c>
      <c r="AO13" s="45">
        <f t="shared" si="22"/>
        <v>141</v>
      </c>
      <c r="AP13" s="45">
        <f t="shared" si="23"/>
        <v>151730703</v>
      </c>
      <c r="AQ13" s="45">
        <f t="shared" si="15"/>
        <v>1093531.8043478262</v>
      </c>
      <c r="AR13" s="45">
        <v>92</v>
      </c>
      <c r="AS13" s="45">
        <v>100604926</v>
      </c>
      <c r="AT13" s="45">
        <f t="shared" si="16"/>
        <v>1043383.2040816327</v>
      </c>
      <c r="AU13" s="45">
        <v>49</v>
      </c>
      <c r="AV13" s="46">
        <v>51125777</v>
      </c>
    </row>
    <row r="14" spans="1:48" ht="24" customHeight="1">
      <c r="A14" s="182"/>
      <c r="B14" s="155"/>
      <c r="C14" s="44" t="s">
        <v>79</v>
      </c>
      <c r="D14" s="45">
        <f t="shared" si="5"/>
        <v>1368741.898154042</v>
      </c>
      <c r="E14" s="45">
        <f t="shared" si="17"/>
        <v>1571</v>
      </c>
      <c r="F14" s="45">
        <f t="shared" si="18"/>
        <v>2150293522</v>
      </c>
      <c r="G14" s="45">
        <f t="shared" si="6"/>
        <v>1383486.9916666667</v>
      </c>
      <c r="H14" s="45">
        <v>720</v>
      </c>
      <c r="I14" s="45">
        <v>996110634</v>
      </c>
      <c r="J14" s="45">
        <f t="shared" si="7"/>
        <v>1356266.6133960048</v>
      </c>
      <c r="K14" s="45">
        <v>851</v>
      </c>
      <c r="L14" s="46">
        <v>1154182888</v>
      </c>
      <c r="M14" s="182"/>
      <c r="N14" s="155"/>
      <c r="O14" s="44" t="s">
        <v>79</v>
      </c>
      <c r="P14" s="45">
        <f t="shared" si="8"/>
        <v>16850.230613279269</v>
      </c>
      <c r="Q14" s="45">
        <v>9371.75</v>
      </c>
      <c r="R14" s="45">
        <f t="shared" si="19"/>
        <v>1894993785</v>
      </c>
      <c r="S14" s="45">
        <f t="shared" si="9"/>
        <v>17654.597035195373</v>
      </c>
      <c r="T14" s="45">
        <v>4030.17</v>
      </c>
      <c r="U14" s="45">
        <v>853812328</v>
      </c>
      <c r="V14" s="81">
        <f t="shared" si="10"/>
        <v>16243.343994972774</v>
      </c>
      <c r="W14" s="45">
        <v>5341.58</v>
      </c>
      <c r="X14" s="46">
        <v>1041181457</v>
      </c>
      <c r="Y14" s="182"/>
      <c r="Z14" s="155"/>
      <c r="AA14" s="44" t="s">
        <v>79</v>
      </c>
      <c r="AB14" s="45">
        <f t="shared" si="11"/>
        <v>110367.14903846153</v>
      </c>
      <c r="AC14" s="45">
        <f t="shared" si="20"/>
        <v>208</v>
      </c>
      <c r="AD14" s="45">
        <f t="shared" si="21"/>
        <v>22956367</v>
      </c>
      <c r="AE14" s="45">
        <f t="shared" si="12"/>
        <v>129615.78260869565</v>
      </c>
      <c r="AF14" s="45">
        <v>115</v>
      </c>
      <c r="AG14" s="45">
        <v>14905815</v>
      </c>
      <c r="AH14" s="45">
        <f t="shared" si="13"/>
        <v>86565.075268817207</v>
      </c>
      <c r="AI14" s="45">
        <v>93</v>
      </c>
      <c r="AJ14" s="46">
        <v>8050552</v>
      </c>
      <c r="AK14" s="182"/>
      <c r="AL14" s="155"/>
      <c r="AM14" s="44" t="s">
        <v>79</v>
      </c>
      <c r="AN14" s="45">
        <f t="shared" si="14"/>
        <v>1010300.5208333334</v>
      </c>
      <c r="AO14" s="45">
        <f t="shared" si="22"/>
        <v>48</v>
      </c>
      <c r="AP14" s="45">
        <f t="shared" si="23"/>
        <v>48494425</v>
      </c>
      <c r="AQ14" s="45">
        <f t="shared" si="15"/>
        <v>942558.18518518517</v>
      </c>
      <c r="AR14" s="45">
        <v>27</v>
      </c>
      <c r="AS14" s="45">
        <v>25449071</v>
      </c>
      <c r="AT14" s="45">
        <f t="shared" si="16"/>
        <v>1097397.8095238095</v>
      </c>
      <c r="AU14" s="45">
        <v>21</v>
      </c>
      <c r="AV14" s="46">
        <v>23045354</v>
      </c>
    </row>
    <row r="15" spans="1:48" ht="24" customHeight="1">
      <c r="A15" s="182"/>
      <c r="B15" s="155"/>
      <c r="C15" s="44" t="s">
        <v>80</v>
      </c>
      <c r="D15" s="45">
        <f t="shared" si="5"/>
        <v>1260562.2476329205</v>
      </c>
      <c r="E15" s="45">
        <f t="shared" si="17"/>
        <v>1373</v>
      </c>
      <c r="F15" s="45">
        <f t="shared" si="18"/>
        <v>1730751966</v>
      </c>
      <c r="G15" s="45">
        <f t="shared" si="6"/>
        <v>1273405.6755070202</v>
      </c>
      <c r="H15" s="45">
        <v>641</v>
      </c>
      <c r="I15" s="45">
        <v>816253038</v>
      </c>
      <c r="J15" s="45">
        <f t="shared" si="7"/>
        <v>1249315.475409836</v>
      </c>
      <c r="K15" s="45">
        <v>732</v>
      </c>
      <c r="L15" s="46">
        <v>914498928</v>
      </c>
      <c r="M15" s="182"/>
      <c r="N15" s="155"/>
      <c r="O15" s="44" t="s">
        <v>80</v>
      </c>
      <c r="P15" s="45">
        <f t="shared" si="8"/>
        <v>15828.9438194178</v>
      </c>
      <c r="Q15" s="45">
        <v>11650.17</v>
      </c>
      <c r="R15" s="45">
        <f t="shared" si="19"/>
        <v>2212918637</v>
      </c>
      <c r="S15" s="45">
        <f t="shared" si="9"/>
        <v>16752.26692377956</v>
      </c>
      <c r="T15" s="45">
        <v>4926.5</v>
      </c>
      <c r="U15" s="45">
        <v>990360516</v>
      </c>
      <c r="V15" s="81">
        <f t="shared" si="10"/>
        <v>15152.415781361467</v>
      </c>
      <c r="W15" s="45">
        <v>6723.67</v>
      </c>
      <c r="X15" s="46">
        <v>1222558121</v>
      </c>
      <c r="Y15" s="182"/>
      <c r="Z15" s="155"/>
      <c r="AA15" s="44" t="s">
        <v>80</v>
      </c>
      <c r="AB15" s="45">
        <f t="shared" si="11"/>
        <v>100823.58585858585</v>
      </c>
      <c r="AC15" s="45">
        <f t="shared" si="20"/>
        <v>198</v>
      </c>
      <c r="AD15" s="45">
        <f t="shared" si="21"/>
        <v>19963070</v>
      </c>
      <c r="AE15" s="45">
        <f t="shared" si="12"/>
        <v>135069.22727272726</v>
      </c>
      <c r="AF15" s="45">
        <v>88</v>
      </c>
      <c r="AG15" s="45">
        <v>11886092</v>
      </c>
      <c r="AH15" s="45">
        <f t="shared" si="13"/>
        <v>73427.072727272724</v>
      </c>
      <c r="AI15" s="45">
        <v>110</v>
      </c>
      <c r="AJ15" s="46">
        <v>8076978</v>
      </c>
      <c r="AK15" s="182"/>
      <c r="AL15" s="155"/>
      <c r="AM15" s="44" t="s">
        <v>80</v>
      </c>
      <c r="AN15" s="45">
        <f t="shared" si="14"/>
        <v>956901.32075471699</v>
      </c>
      <c r="AO15" s="45">
        <f t="shared" si="22"/>
        <v>53</v>
      </c>
      <c r="AP15" s="45">
        <f t="shared" si="23"/>
        <v>50715770</v>
      </c>
      <c r="AQ15" s="45">
        <f t="shared" si="15"/>
        <v>995752.09090909094</v>
      </c>
      <c r="AR15" s="45">
        <v>33</v>
      </c>
      <c r="AS15" s="45">
        <v>32859819</v>
      </c>
      <c r="AT15" s="45">
        <f t="shared" si="16"/>
        <v>892797.55</v>
      </c>
      <c r="AU15" s="45">
        <v>20</v>
      </c>
      <c r="AV15" s="46">
        <v>17855951</v>
      </c>
    </row>
    <row r="16" spans="1:48" ht="24" customHeight="1">
      <c r="A16" s="182"/>
      <c r="B16" s="155"/>
      <c r="C16" s="44" t="s">
        <v>81</v>
      </c>
      <c r="D16" s="45">
        <f t="shared" si="5"/>
        <v>1225752.9974135144</v>
      </c>
      <c r="E16" s="45">
        <f t="shared" si="17"/>
        <v>3093</v>
      </c>
      <c r="F16" s="45">
        <f t="shared" si="18"/>
        <v>3791254021</v>
      </c>
      <c r="G16" s="45">
        <f t="shared" si="6"/>
        <v>1252202.427307206</v>
      </c>
      <c r="H16" s="45">
        <v>1582</v>
      </c>
      <c r="I16" s="45">
        <v>1980984240</v>
      </c>
      <c r="J16" s="45">
        <f t="shared" si="7"/>
        <v>1198060.7418927862</v>
      </c>
      <c r="K16" s="45">
        <v>1511</v>
      </c>
      <c r="L16" s="46">
        <v>1810269781</v>
      </c>
      <c r="M16" s="182"/>
      <c r="N16" s="155"/>
      <c r="O16" s="44" t="s">
        <v>81</v>
      </c>
      <c r="P16" s="45">
        <f t="shared" si="8"/>
        <v>14704.51468516497</v>
      </c>
      <c r="Q16" s="45">
        <v>25596.58</v>
      </c>
      <c r="R16" s="45">
        <f t="shared" si="19"/>
        <v>4516623438</v>
      </c>
      <c r="S16" s="45">
        <f t="shared" si="9"/>
        <v>15799.716431137562</v>
      </c>
      <c r="T16" s="45">
        <v>12224.25</v>
      </c>
      <c r="U16" s="45">
        <v>2317676203</v>
      </c>
      <c r="V16" s="81">
        <f t="shared" si="10"/>
        <v>13703.34137107495</v>
      </c>
      <c r="W16" s="45">
        <v>13372.33</v>
      </c>
      <c r="X16" s="46">
        <v>2198947235</v>
      </c>
      <c r="Y16" s="182"/>
      <c r="Z16" s="155"/>
      <c r="AA16" s="44" t="s">
        <v>81</v>
      </c>
      <c r="AB16" s="45">
        <f t="shared" si="11"/>
        <v>108911.95190947666</v>
      </c>
      <c r="AC16" s="45">
        <f t="shared" si="20"/>
        <v>707</v>
      </c>
      <c r="AD16" s="45">
        <f t="shared" si="21"/>
        <v>77000750</v>
      </c>
      <c r="AE16" s="45">
        <f t="shared" si="12"/>
        <v>131962.56145251397</v>
      </c>
      <c r="AF16" s="45">
        <v>358</v>
      </c>
      <c r="AG16" s="45">
        <v>47242597</v>
      </c>
      <c r="AH16" s="45">
        <f t="shared" si="13"/>
        <v>85266.914040114614</v>
      </c>
      <c r="AI16" s="45">
        <v>349</v>
      </c>
      <c r="AJ16" s="46">
        <v>29758153</v>
      </c>
      <c r="AK16" s="182"/>
      <c r="AL16" s="155"/>
      <c r="AM16" s="44" t="s">
        <v>81</v>
      </c>
      <c r="AN16" s="45">
        <f t="shared" si="14"/>
        <v>780811.91216216213</v>
      </c>
      <c r="AO16" s="45">
        <f t="shared" si="22"/>
        <v>148</v>
      </c>
      <c r="AP16" s="45">
        <f t="shared" si="23"/>
        <v>115560163</v>
      </c>
      <c r="AQ16" s="45">
        <f t="shared" si="15"/>
        <v>794485.02127659577</v>
      </c>
      <c r="AR16" s="45">
        <v>94</v>
      </c>
      <c r="AS16" s="45">
        <v>74681592</v>
      </c>
      <c r="AT16" s="45">
        <f t="shared" si="16"/>
        <v>757010.57407407404</v>
      </c>
      <c r="AU16" s="45">
        <v>54</v>
      </c>
      <c r="AV16" s="46">
        <v>40878571</v>
      </c>
    </row>
    <row r="17" spans="1:48" ht="24" customHeight="1">
      <c r="A17" s="182"/>
      <c r="B17" s="155"/>
      <c r="C17" s="44" t="s">
        <v>82</v>
      </c>
      <c r="D17" s="45">
        <f t="shared" si="5"/>
        <v>1237040.3032462392</v>
      </c>
      <c r="E17" s="45">
        <f t="shared" si="17"/>
        <v>1263</v>
      </c>
      <c r="F17" s="45">
        <f t="shared" si="18"/>
        <v>1562381903</v>
      </c>
      <c r="G17" s="45">
        <f t="shared" si="6"/>
        <v>1214465.8300653594</v>
      </c>
      <c r="H17" s="45">
        <v>612</v>
      </c>
      <c r="I17" s="45">
        <v>743253088</v>
      </c>
      <c r="J17" s="45">
        <f t="shared" si="7"/>
        <v>1258262.3886328726</v>
      </c>
      <c r="K17" s="45">
        <v>651</v>
      </c>
      <c r="L17" s="46">
        <v>819128815</v>
      </c>
      <c r="M17" s="182"/>
      <c r="N17" s="155"/>
      <c r="O17" s="44" t="s">
        <v>82</v>
      </c>
      <c r="P17" s="45">
        <f t="shared" si="8"/>
        <v>15856.882519128396</v>
      </c>
      <c r="Q17" s="45">
        <v>13253.42</v>
      </c>
      <c r="R17" s="45">
        <f t="shared" si="19"/>
        <v>2521895087</v>
      </c>
      <c r="S17" s="45">
        <f t="shared" si="9"/>
        <v>16621.104877502614</v>
      </c>
      <c r="T17" s="45">
        <v>5254.67</v>
      </c>
      <c r="U17" s="45">
        <v>1048061054</v>
      </c>
      <c r="V17" s="81">
        <f t="shared" si="10"/>
        <v>15354.837037037038</v>
      </c>
      <c r="W17" s="45">
        <v>7998.75</v>
      </c>
      <c r="X17" s="46">
        <v>1473834033</v>
      </c>
      <c r="Y17" s="182"/>
      <c r="Z17" s="155"/>
      <c r="AA17" s="44" t="s">
        <v>82</v>
      </c>
      <c r="AB17" s="45">
        <f t="shared" si="11"/>
        <v>117551.56185567011</v>
      </c>
      <c r="AC17" s="45">
        <f t="shared" si="20"/>
        <v>194</v>
      </c>
      <c r="AD17" s="45">
        <f t="shared" si="21"/>
        <v>22805003</v>
      </c>
      <c r="AE17" s="45">
        <f t="shared" si="12"/>
        <v>146365.9081632653</v>
      </c>
      <c r="AF17" s="45">
        <v>98</v>
      </c>
      <c r="AG17" s="45">
        <v>14343859</v>
      </c>
      <c r="AH17" s="45">
        <f t="shared" si="13"/>
        <v>88136.916666666672</v>
      </c>
      <c r="AI17" s="45">
        <v>96</v>
      </c>
      <c r="AJ17" s="46">
        <v>8461144</v>
      </c>
      <c r="AK17" s="182"/>
      <c r="AL17" s="155"/>
      <c r="AM17" s="44" t="s">
        <v>82</v>
      </c>
      <c r="AN17" s="45">
        <f t="shared" si="14"/>
        <v>844326.76470588241</v>
      </c>
      <c r="AO17" s="45">
        <f t="shared" si="22"/>
        <v>68</v>
      </c>
      <c r="AP17" s="45">
        <f t="shared" si="23"/>
        <v>57414220</v>
      </c>
      <c r="AQ17" s="45">
        <f t="shared" si="15"/>
        <v>963649.51282051287</v>
      </c>
      <c r="AR17" s="45">
        <v>39</v>
      </c>
      <c r="AS17" s="45">
        <v>37582331</v>
      </c>
      <c r="AT17" s="45">
        <f t="shared" si="16"/>
        <v>683858.24137931038</v>
      </c>
      <c r="AU17" s="45">
        <v>29</v>
      </c>
      <c r="AV17" s="46">
        <v>19831889</v>
      </c>
    </row>
    <row r="18" spans="1:48" ht="24" customHeight="1">
      <c r="A18" s="182"/>
      <c r="B18" s="155"/>
      <c r="C18" s="44" t="s">
        <v>83</v>
      </c>
      <c r="D18" s="45">
        <f t="shared" si="5"/>
        <v>1224937.3850666666</v>
      </c>
      <c r="E18" s="45">
        <f t="shared" si="17"/>
        <v>1875</v>
      </c>
      <c r="F18" s="45">
        <f t="shared" si="18"/>
        <v>2296757597</v>
      </c>
      <c r="G18" s="45">
        <f t="shared" si="6"/>
        <v>1209955.9031578947</v>
      </c>
      <c r="H18" s="45">
        <v>950</v>
      </c>
      <c r="I18" s="45">
        <v>1149458108</v>
      </c>
      <c r="J18" s="45">
        <f t="shared" si="7"/>
        <v>1240323.771891892</v>
      </c>
      <c r="K18" s="45">
        <v>925</v>
      </c>
      <c r="L18" s="46">
        <v>1147299489</v>
      </c>
      <c r="M18" s="182"/>
      <c r="N18" s="155"/>
      <c r="O18" s="44" t="s">
        <v>83</v>
      </c>
      <c r="P18" s="45">
        <f t="shared" si="8"/>
        <v>14753.940770528483</v>
      </c>
      <c r="Q18" s="45">
        <v>16350.25</v>
      </c>
      <c r="R18" s="45">
        <f t="shared" si="19"/>
        <v>2894767441</v>
      </c>
      <c r="S18" s="45">
        <f t="shared" si="9"/>
        <v>15720.94708701009</v>
      </c>
      <c r="T18" s="45">
        <v>6809.67</v>
      </c>
      <c r="U18" s="45">
        <v>1284653541</v>
      </c>
      <c r="V18" s="81">
        <f t="shared" si="10"/>
        <v>14063.731799673953</v>
      </c>
      <c r="W18" s="45">
        <v>9540.58</v>
      </c>
      <c r="X18" s="46">
        <v>1610113900</v>
      </c>
      <c r="Y18" s="182"/>
      <c r="Z18" s="155"/>
      <c r="AA18" s="44" t="s">
        <v>83</v>
      </c>
      <c r="AB18" s="45">
        <f t="shared" si="11"/>
        <v>124512.75138121546</v>
      </c>
      <c r="AC18" s="45">
        <f t="shared" si="20"/>
        <v>181</v>
      </c>
      <c r="AD18" s="45">
        <f t="shared" si="21"/>
        <v>22536808</v>
      </c>
      <c r="AE18" s="45">
        <f t="shared" si="12"/>
        <v>141285.18699186991</v>
      </c>
      <c r="AF18" s="45">
        <v>123</v>
      </c>
      <c r="AG18" s="45">
        <v>17378078</v>
      </c>
      <c r="AH18" s="45">
        <f t="shared" si="13"/>
        <v>88943.620689655174</v>
      </c>
      <c r="AI18" s="45">
        <v>58</v>
      </c>
      <c r="AJ18" s="46">
        <v>5158730</v>
      </c>
      <c r="AK18" s="182"/>
      <c r="AL18" s="155"/>
      <c r="AM18" s="44" t="s">
        <v>83</v>
      </c>
      <c r="AN18" s="45">
        <f t="shared" si="14"/>
        <v>704859.29090909089</v>
      </c>
      <c r="AO18" s="45">
        <f t="shared" si="22"/>
        <v>110</v>
      </c>
      <c r="AP18" s="45">
        <f t="shared" si="23"/>
        <v>77534522</v>
      </c>
      <c r="AQ18" s="45">
        <f t="shared" si="15"/>
        <v>729007.22388059704</v>
      </c>
      <c r="AR18" s="45">
        <v>67</v>
      </c>
      <c r="AS18" s="45">
        <v>48843484</v>
      </c>
      <c r="AT18" s="45">
        <f t="shared" si="16"/>
        <v>667233.4418604651</v>
      </c>
      <c r="AU18" s="45">
        <v>43</v>
      </c>
      <c r="AV18" s="46">
        <v>28691038</v>
      </c>
    </row>
    <row r="19" spans="1:48" ht="24" customHeight="1">
      <c r="A19" s="182"/>
      <c r="B19" s="155"/>
      <c r="C19" s="44" t="s">
        <v>84</v>
      </c>
      <c r="D19" s="45">
        <f t="shared" si="5"/>
        <v>1137302.4166666667</v>
      </c>
      <c r="E19" s="45">
        <f t="shared" si="17"/>
        <v>828</v>
      </c>
      <c r="F19" s="45">
        <f t="shared" si="18"/>
        <v>941686401</v>
      </c>
      <c r="G19" s="45">
        <f t="shared" si="6"/>
        <v>1167082.2051835854</v>
      </c>
      <c r="H19" s="45">
        <v>463</v>
      </c>
      <c r="I19" s="45">
        <v>540359061</v>
      </c>
      <c r="J19" s="45">
        <f t="shared" si="7"/>
        <v>1099526.9589041097</v>
      </c>
      <c r="K19" s="45">
        <v>365</v>
      </c>
      <c r="L19" s="46">
        <v>401327340</v>
      </c>
      <c r="M19" s="182"/>
      <c r="N19" s="155"/>
      <c r="O19" s="44" t="s">
        <v>84</v>
      </c>
      <c r="P19" s="45">
        <f t="shared" si="8"/>
        <v>15031.712062695116</v>
      </c>
      <c r="Q19" s="45">
        <v>5178.5</v>
      </c>
      <c r="R19" s="45">
        <f t="shared" si="19"/>
        <v>934100651</v>
      </c>
      <c r="S19" s="45">
        <f t="shared" si="9"/>
        <v>16148.075541455777</v>
      </c>
      <c r="T19" s="45">
        <v>2477.58</v>
      </c>
      <c r="U19" s="45">
        <v>480097788</v>
      </c>
      <c r="V19" s="81">
        <f t="shared" si="10"/>
        <v>14007.661062403427</v>
      </c>
      <c r="W19" s="45">
        <v>2700.92</v>
      </c>
      <c r="X19" s="46">
        <v>454002863</v>
      </c>
      <c r="Y19" s="182"/>
      <c r="Z19" s="155"/>
      <c r="AA19" s="44" t="s">
        <v>84</v>
      </c>
      <c r="AB19" s="45">
        <f t="shared" si="11"/>
        <v>111124.75925925926</v>
      </c>
      <c r="AC19" s="45">
        <f t="shared" si="20"/>
        <v>162</v>
      </c>
      <c r="AD19" s="45">
        <f t="shared" si="21"/>
        <v>18002211</v>
      </c>
      <c r="AE19" s="45">
        <f t="shared" si="12"/>
        <v>131577.31868131869</v>
      </c>
      <c r="AF19" s="45">
        <v>91</v>
      </c>
      <c r="AG19" s="45">
        <v>11973536</v>
      </c>
      <c r="AH19" s="45">
        <f t="shared" si="13"/>
        <v>84910.915492957749</v>
      </c>
      <c r="AI19" s="45">
        <v>71</v>
      </c>
      <c r="AJ19" s="46">
        <v>6028675</v>
      </c>
      <c r="AK19" s="182"/>
      <c r="AL19" s="155"/>
      <c r="AM19" s="44" t="s">
        <v>84</v>
      </c>
      <c r="AN19" s="45">
        <f t="shared" si="14"/>
        <v>841878.74285714282</v>
      </c>
      <c r="AO19" s="45">
        <f t="shared" si="22"/>
        <v>35</v>
      </c>
      <c r="AP19" s="45">
        <f t="shared" si="23"/>
        <v>29465756</v>
      </c>
      <c r="AQ19" s="45">
        <f t="shared" si="15"/>
        <v>886223.42307692312</v>
      </c>
      <c r="AR19" s="45">
        <v>26</v>
      </c>
      <c r="AS19" s="45">
        <v>23041809</v>
      </c>
      <c r="AT19" s="45">
        <f t="shared" si="16"/>
        <v>713771.88888888888</v>
      </c>
      <c r="AU19" s="45">
        <v>9</v>
      </c>
      <c r="AV19" s="46">
        <v>6423947</v>
      </c>
    </row>
    <row r="20" spans="1:48" ht="24" customHeight="1">
      <c r="A20" s="182"/>
      <c r="B20" s="155"/>
      <c r="C20" s="44" t="s">
        <v>85</v>
      </c>
      <c r="D20" s="45">
        <f t="shared" si="5"/>
        <v>1107697.5756880734</v>
      </c>
      <c r="E20" s="45">
        <f t="shared" si="17"/>
        <v>2180</v>
      </c>
      <c r="F20" s="45">
        <f t="shared" si="18"/>
        <v>2414780715</v>
      </c>
      <c r="G20" s="45">
        <f t="shared" si="6"/>
        <v>1123896.0269016698</v>
      </c>
      <c r="H20" s="45">
        <v>1078</v>
      </c>
      <c r="I20" s="45">
        <v>1211559917</v>
      </c>
      <c r="J20" s="45">
        <f t="shared" si="7"/>
        <v>1091851.9038112522</v>
      </c>
      <c r="K20" s="45">
        <v>1102</v>
      </c>
      <c r="L20" s="46">
        <v>1203220798</v>
      </c>
      <c r="M20" s="182"/>
      <c r="N20" s="155"/>
      <c r="O20" s="44" t="s">
        <v>85</v>
      </c>
      <c r="P20" s="45">
        <f t="shared" si="8"/>
        <v>14570.204188511676</v>
      </c>
      <c r="Q20" s="45">
        <v>14543.75</v>
      </c>
      <c r="R20" s="45">
        <f t="shared" si="19"/>
        <v>2542864886</v>
      </c>
      <c r="S20" s="45">
        <f t="shared" si="9"/>
        <v>15450.422138303949</v>
      </c>
      <c r="T20" s="45">
        <v>6162.08</v>
      </c>
      <c r="U20" s="45">
        <v>1142480847</v>
      </c>
      <c r="V20" s="81">
        <f t="shared" si="10"/>
        <v>13923.080951250367</v>
      </c>
      <c r="W20" s="45">
        <v>8381.67</v>
      </c>
      <c r="X20" s="46">
        <v>1400384039</v>
      </c>
      <c r="Y20" s="182"/>
      <c r="Z20" s="155"/>
      <c r="AA20" s="44" t="s">
        <v>85</v>
      </c>
      <c r="AB20" s="45">
        <f t="shared" si="11"/>
        <v>106734.12903225806</v>
      </c>
      <c r="AC20" s="45">
        <f t="shared" si="20"/>
        <v>403</v>
      </c>
      <c r="AD20" s="45">
        <f t="shared" si="21"/>
        <v>43013854</v>
      </c>
      <c r="AE20" s="45">
        <f t="shared" si="12"/>
        <v>130530.82110091743</v>
      </c>
      <c r="AF20" s="45">
        <v>218</v>
      </c>
      <c r="AG20" s="45">
        <v>28455719</v>
      </c>
      <c r="AH20" s="45">
        <f t="shared" si="13"/>
        <v>78692.621621621627</v>
      </c>
      <c r="AI20" s="45">
        <v>185</v>
      </c>
      <c r="AJ20" s="46">
        <v>14558135</v>
      </c>
      <c r="AK20" s="182"/>
      <c r="AL20" s="155"/>
      <c r="AM20" s="44" t="s">
        <v>85</v>
      </c>
      <c r="AN20" s="45">
        <f t="shared" si="14"/>
        <v>853077.42682926834</v>
      </c>
      <c r="AO20" s="45">
        <f t="shared" si="22"/>
        <v>82</v>
      </c>
      <c r="AP20" s="45">
        <f t="shared" si="23"/>
        <v>69952349</v>
      </c>
      <c r="AQ20" s="45">
        <f t="shared" si="15"/>
        <v>875873.50980392157</v>
      </c>
      <c r="AR20" s="45">
        <v>51</v>
      </c>
      <c r="AS20" s="45">
        <v>44669549</v>
      </c>
      <c r="AT20" s="45">
        <f t="shared" si="16"/>
        <v>815574.19354838715</v>
      </c>
      <c r="AU20" s="45">
        <v>31</v>
      </c>
      <c r="AV20" s="46">
        <v>25282800</v>
      </c>
    </row>
    <row r="21" spans="1:48" ht="24" customHeight="1">
      <c r="A21" s="182"/>
      <c r="B21" s="155"/>
      <c r="C21" s="44" t="s">
        <v>86</v>
      </c>
      <c r="D21" s="45">
        <f t="shared" si="5"/>
        <v>1023840.3700189753</v>
      </c>
      <c r="E21" s="45">
        <f t="shared" si="17"/>
        <v>527</v>
      </c>
      <c r="F21" s="45">
        <f t="shared" si="18"/>
        <v>539563875</v>
      </c>
      <c r="G21" s="45">
        <f t="shared" si="6"/>
        <v>1040940.7228464419</v>
      </c>
      <c r="H21" s="45">
        <v>267</v>
      </c>
      <c r="I21" s="45">
        <v>277931173</v>
      </c>
      <c r="J21" s="45">
        <f t="shared" si="7"/>
        <v>1006279.6230769231</v>
      </c>
      <c r="K21" s="45">
        <v>260</v>
      </c>
      <c r="L21" s="46">
        <v>261632702</v>
      </c>
      <c r="M21" s="182"/>
      <c r="N21" s="155"/>
      <c r="O21" s="44" t="s">
        <v>86</v>
      </c>
      <c r="P21" s="45">
        <f t="shared" si="8"/>
        <v>14998.939545238405</v>
      </c>
      <c r="Q21" s="45">
        <v>3855.5</v>
      </c>
      <c r="R21" s="45">
        <f t="shared" si="19"/>
        <v>693940937</v>
      </c>
      <c r="S21" s="45">
        <f t="shared" si="9"/>
        <v>16216.034222050572</v>
      </c>
      <c r="T21" s="45">
        <v>1527.67</v>
      </c>
      <c r="U21" s="45">
        <v>297272988</v>
      </c>
      <c r="V21" s="81">
        <f t="shared" si="10"/>
        <v>14200.204661279677</v>
      </c>
      <c r="W21" s="45">
        <v>2327.83</v>
      </c>
      <c r="X21" s="46">
        <v>396667949</v>
      </c>
      <c r="Y21" s="182"/>
      <c r="Z21" s="155"/>
      <c r="AA21" s="44" t="s">
        <v>86</v>
      </c>
      <c r="AB21" s="45">
        <f t="shared" si="11"/>
        <v>94034.945945945947</v>
      </c>
      <c r="AC21" s="45">
        <f t="shared" si="20"/>
        <v>111</v>
      </c>
      <c r="AD21" s="45">
        <f t="shared" si="21"/>
        <v>10437879</v>
      </c>
      <c r="AE21" s="45">
        <f t="shared" si="12"/>
        <v>94761.661764705888</v>
      </c>
      <c r="AF21" s="45">
        <v>68</v>
      </c>
      <c r="AG21" s="45">
        <v>6443793</v>
      </c>
      <c r="AH21" s="45">
        <f t="shared" si="13"/>
        <v>92885.720930232565</v>
      </c>
      <c r="AI21" s="45">
        <v>43</v>
      </c>
      <c r="AJ21" s="46">
        <v>3994086</v>
      </c>
      <c r="AK21" s="182"/>
      <c r="AL21" s="155"/>
      <c r="AM21" s="44" t="s">
        <v>86</v>
      </c>
      <c r="AN21" s="45">
        <f t="shared" si="14"/>
        <v>883249.63157894742</v>
      </c>
      <c r="AO21" s="45">
        <f t="shared" si="22"/>
        <v>19</v>
      </c>
      <c r="AP21" s="45">
        <f t="shared" si="23"/>
        <v>16781743</v>
      </c>
      <c r="AQ21" s="45">
        <f t="shared" si="15"/>
        <v>884418.07142857148</v>
      </c>
      <c r="AR21" s="45">
        <v>14</v>
      </c>
      <c r="AS21" s="45">
        <v>12381853</v>
      </c>
      <c r="AT21" s="45">
        <f t="shared" si="16"/>
        <v>879978</v>
      </c>
      <c r="AU21" s="45">
        <v>5</v>
      </c>
      <c r="AV21" s="46">
        <v>4399890</v>
      </c>
    </row>
    <row r="22" spans="1:48" ht="24" customHeight="1">
      <c r="A22" s="182"/>
      <c r="B22" s="155"/>
      <c r="C22" s="44" t="s">
        <v>87</v>
      </c>
      <c r="D22" s="45">
        <f t="shared" si="5"/>
        <v>1173206.7832669322</v>
      </c>
      <c r="E22" s="45">
        <f t="shared" si="17"/>
        <v>1255</v>
      </c>
      <c r="F22" s="45">
        <f t="shared" si="18"/>
        <v>1472374513</v>
      </c>
      <c r="G22" s="45">
        <f t="shared" si="6"/>
        <v>1168687.1006711409</v>
      </c>
      <c r="H22" s="45">
        <v>596</v>
      </c>
      <c r="I22" s="45">
        <v>696537512</v>
      </c>
      <c r="J22" s="45">
        <f t="shared" si="7"/>
        <v>1177294.3869499241</v>
      </c>
      <c r="K22" s="45">
        <v>659</v>
      </c>
      <c r="L22" s="46">
        <v>775837001</v>
      </c>
      <c r="M22" s="182"/>
      <c r="N22" s="155"/>
      <c r="O22" s="44" t="s">
        <v>87</v>
      </c>
      <c r="P22" s="45">
        <f t="shared" si="8"/>
        <v>16439.884607537108</v>
      </c>
      <c r="Q22" s="45">
        <v>9181.42</v>
      </c>
      <c r="R22" s="45">
        <f t="shared" si="19"/>
        <v>1811297824</v>
      </c>
      <c r="S22" s="45">
        <f t="shared" si="9"/>
        <v>17692.569926038261</v>
      </c>
      <c r="T22" s="45">
        <v>3613.58</v>
      </c>
      <c r="U22" s="45">
        <v>767202202</v>
      </c>
      <c r="V22" s="81">
        <f t="shared" si="10"/>
        <v>15626.908238936892</v>
      </c>
      <c r="W22" s="45">
        <v>5567.83</v>
      </c>
      <c r="X22" s="46">
        <v>1044095622</v>
      </c>
      <c r="Y22" s="182"/>
      <c r="Z22" s="155"/>
      <c r="AA22" s="44" t="s">
        <v>87</v>
      </c>
      <c r="AB22" s="45">
        <f t="shared" si="11"/>
        <v>134745.912568306</v>
      </c>
      <c r="AC22" s="45">
        <f t="shared" si="20"/>
        <v>183</v>
      </c>
      <c r="AD22" s="45">
        <f t="shared" si="21"/>
        <v>24658502</v>
      </c>
      <c r="AE22" s="45">
        <f t="shared" si="12"/>
        <v>146669.92913385827</v>
      </c>
      <c r="AF22" s="45">
        <v>127</v>
      </c>
      <c r="AG22" s="45">
        <v>18627081</v>
      </c>
      <c r="AH22" s="45">
        <f t="shared" si="13"/>
        <v>107703.94642857143</v>
      </c>
      <c r="AI22" s="45">
        <v>56</v>
      </c>
      <c r="AJ22" s="46">
        <v>6031421</v>
      </c>
      <c r="AK22" s="182"/>
      <c r="AL22" s="155"/>
      <c r="AM22" s="44" t="s">
        <v>87</v>
      </c>
      <c r="AN22" s="45">
        <f t="shared" si="14"/>
        <v>906827.63461538462</v>
      </c>
      <c r="AO22" s="45">
        <f t="shared" si="22"/>
        <v>52</v>
      </c>
      <c r="AP22" s="45">
        <f t="shared" si="23"/>
        <v>47155037</v>
      </c>
      <c r="AQ22" s="45">
        <f t="shared" si="15"/>
        <v>929771.23529411759</v>
      </c>
      <c r="AR22" s="45">
        <v>34</v>
      </c>
      <c r="AS22" s="45">
        <v>31612222</v>
      </c>
      <c r="AT22" s="45">
        <f t="shared" si="16"/>
        <v>863489.72222222225</v>
      </c>
      <c r="AU22" s="45">
        <v>18</v>
      </c>
      <c r="AV22" s="46">
        <v>15542815</v>
      </c>
    </row>
    <row r="23" spans="1:48" ht="24" customHeight="1">
      <c r="A23" s="182"/>
      <c r="B23" s="155"/>
      <c r="C23" s="44" t="s">
        <v>88</v>
      </c>
      <c r="D23" s="45">
        <f t="shared" si="5"/>
        <v>1068062.786231884</v>
      </c>
      <c r="E23" s="45">
        <f t="shared" si="17"/>
        <v>276</v>
      </c>
      <c r="F23" s="45">
        <f t="shared" si="18"/>
        <v>294785329</v>
      </c>
      <c r="G23" s="45">
        <f t="shared" si="6"/>
        <v>1056699.3493975904</v>
      </c>
      <c r="H23" s="45">
        <v>166</v>
      </c>
      <c r="I23" s="45">
        <v>175412092</v>
      </c>
      <c r="J23" s="45">
        <f t="shared" si="7"/>
        <v>1085211.2454545454</v>
      </c>
      <c r="K23" s="45">
        <v>110</v>
      </c>
      <c r="L23" s="46">
        <v>119373237</v>
      </c>
      <c r="M23" s="182"/>
      <c r="N23" s="155"/>
      <c r="O23" s="44" t="s">
        <v>88</v>
      </c>
      <c r="P23" s="45">
        <f t="shared" si="8"/>
        <v>15361.324482448244</v>
      </c>
      <c r="Q23" s="45">
        <v>1666.5</v>
      </c>
      <c r="R23" s="45">
        <f t="shared" si="19"/>
        <v>307195767</v>
      </c>
      <c r="S23" s="45">
        <f t="shared" si="9"/>
        <v>16635.387771569509</v>
      </c>
      <c r="T23" s="45">
        <v>656.83</v>
      </c>
      <c r="U23" s="45">
        <v>131119461</v>
      </c>
      <c r="V23" s="81">
        <f t="shared" si="10"/>
        <v>14532.496261154636</v>
      </c>
      <c r="W23" s="45">
        <v>1009.67</v>
      </c>
      <c r="X23" s="46">
        <v>176076306</v>
      </c>
      <c r="Y23" s="182"/>
      <c r="Z23" s="155"/>
      <c r="AA23" s="44" t="s">
        <v>88</v>
      </c>
      <c r="AB23" s="45">
        <f t="shared" si="11"/>
        <v>92831.333333333328</v>
      </c>
      <c r="AC23" s="45">
        <f t="shared" si="20"/>
        <v>21</v>
      </c>
      <c r="AD23" s="45">
        <f t="shared" si="21"/>
        <v>1949458</v>
      </c>
      <c r="AE23" s="45">
        <f t="shared" si="12"/>
        <v>112934.57142857143</v>
      </c>
      <c r="AF23" s="45">
        <v>14</v>
      </c>
      <c r="AG23" s="45">
        <v>1581084</v>
      </c>
      <c r="AH23" s="45">
        <f t="shared" si="13"/>
        <v>52624.857142857145</v>
      </c>
      <c r="AI23" s="45">
        <v>7</v>
      </c>
      <c r="AJ23" s="46">
        <v>368374</v>
      </c>
      <c r="AK23" s="182"/>
      <c r="AL23" s="155"/>
      <c r="AM23" s="44" t="s">
        <v>88</v>
      </c>
      <c r="AN23" s="45">
        <f t="shared" si="14"/>
        <v>893461.42857142852</v>
      </c>
      <c r="AO23" s="45">
        <f t="shared" si="22"/>
        <v>14</v>
      </c>
      <c r="AP23" s="45">
        <f t="shared" si="23"/>
        <v>12508460</v>
      </c>
      <c r="AQ23" s="45">
        <f t="shared" si="15"/>
        <v>815834.625</v>
      </c>
      <c r="AR23" s="45">
        <v>8</v>
      </c>
      <c r="AS23" s="45">
        <v>6526677</v>
      </c>
      <c r="AT23" s="45">
        <f t="shared" si="16"/>
        <v>996963.83333333337</v>
      </c>
      <c r="AU23" s="45">
        <v>6</v>
      </c>
      <c r="AV23" s="46">
        <v>5981783</v>
      </c>
    </row>
    <row r="24" spans="1:48" ht="24" customHeight="1">
      <c r="A24" s="182"/>
      <c r="B24" s="155"/>
      <c r="C24" s="44" t="s">
        <v>89</v>
      </c>
      <c r="D24" s="45">
        <f t="shared" si="5"/>
        <v>1439451.3590633131</v>
      </c>
      <c r="E24" s="45">
        <f t="shared" si="17"/>
        <v>2306</v>
      </c>
      <c r="F24" s="45">
        <f t="shared" si="18"/>
        <v>3319374834</v>
      </c>
      <c r="G24" s="45">
        <f t="shared" si="6"/>
        <v>1352493.2737047898</v>
      </c>
      <c r="H24" s="45">
        <v>1023</v>
      </c>
      <c r="I24" s="45">
        <v>1383600619</v>
      </c>
      <c r="J24" s="45">
        <f t="shared" si="7"/>
        <v>1508787.3850350741</v>
      </c>
      <c r="K24" s="45">
        <v>1283</v>
      </c>
      <c r="L24" s="46">
        <v>1935774215</v>
      </c>
      <c r="M24" s="182"/>
      <c r="N24" s="155"/>
      <c r="O24" s="44" t="s">
        <v>89</v>
      </c>
      <c r="P24" s="45">
        <f t="shared" si="8"/>
        <v>17974.095377121328</v>
      </c>
      <c r="Q24" s="45">
        <v>14036.42</v>
      </c>
      <c r="R24" s="45">
        <f t="shared" si="19"/>
        <v>3027503422</v>
      </c>
      <c r="S24" s="45">
        <f t="shared" si="9"/>
        <v>18740.495772620976</v>
      </c>
      <c r="T24" s="45">
        <v>5095.75</v>
      </c>
      <c r="U24" s="45">
        <v>1145962576</v>
      </c>
      <c r="V24" s="81">
        <f t="shared" si="10"/>
        <v>17537.284174452248</v>
      </c>
      <c r="W24" s="45">
        <v>8940.67</v>
      </c>
      <c r="X24" s="46">
        <v>1881540846</v>
      </c>
      <c r="Y24" s="182"/>
      <c r="Z24" s="155"/>
      <c r="AA24" s="44" t="s">
        <v>89</v>
      </c>
      <c r="AB24" s="45">
        <f t="shared" si="11"/>
        <v>104909.33816425121</v>
      </c>
      <c r="AC24" s="45">
        <f t="shared" si="20"/>
        <v>207</v>
      </c>
      <c r="AD24" s="45">
        <f t="shared" si="21"/>
        <v>21716233</v>
      </c>
      <c r="AE24" s="45">
        <f t="shared" si="12"/>
        <v>119004.48760330578</v>
      </c>
      <c r="AF24" s="45">
        <v>121</v>
      </c>
      <c r="AG24" s="45">
        <v>14399543</v>
      </c>
      <c r="AH24" s="45">
        <f t="shared" si="13"/>
        <v>85077.790697674413</v>
      </c>
      <c r="AI24" s="45">
        <v>86</v>
      </c>
      <c r="AJ24" s="46">
        <v>7316690</v>
      </c>
      <c r="AK24" s="182"/>
      <c r="AL24" s="155"/>
      <c r="AM24" s="44" t="s">
        <v>89</v>
      </c>
      <c r="AN24" s="45">
        <f t="shared" si="14"/>
        <v>1007805.5057471264</v>
      </c>
      <c r="AO24" s="45">
        <f t="shared" si="22"/>
        <v>87</v>
      </c>
      <c r="AP24" s="45">
        <f t="shared" si="23"/>
        <v>87679079</v>
      </c>
      <c r="AQ24" s="45">
        <f t="shared" si="15"/>
        <v>1020357.75</v>
      </c>
      <c r="AR24" s="45">
        <v>44</v>
      </c>
      <c r="AS24" s="45">
        <v>44895741</v>
      </c>
      <c r="AT24" s="45">
        <f t="shared" si="16"/>
        <v>994961.34883720928</v>
      </c>
      <c r="AU24" s="45">
        <v>43</v>
      </c>
      <c r="AV24" s="46">
        <v>42783338</v>
      </c>
    </row>
    <row r="25" spans="1:48" ht="24" customHeight="1">
      <c r="A25" s="182"/>
      <c r="B25" s="155"/>
      <c r="C25" s="44" t="s">
        <v>90</v>
      </c>
      <c r="D25" s="45">
        <f t="shared" si="5"/>
        <v>1353447.5742514969</v>
      </c>
      <c r="E25" s="45">
        <f t="shared" si="17"/>
        <v>1670</v>
      </c>
      <c r="F25" s="45">
        <f t="shared" si="18"/>
        <v>2260257449</v>
      </c>
      <c r="G25" s="45">
        <f t="shared" si="6"/>
        <v>1339822.3620071684</v>
      </c>
      <c r="H25" s="45">
        <v>837</v>
      </c>
      <c r="I25" s="45">
        <v>1121431317</v>
      </c>
      <c r="J25" s="45">
        <f t="shared" si="7"/>
        <v>1367138.2136854741</v>
      </c>
      <c r="K25" s="45">
        <v>833</v>
      </c>
      <c r="L25" s="46">
        <v>1138826132</v>
      </c>
      <c r="M25" s="182"/>
      <c r="N25" s="155"/>
      <c r="O25" s="44" t="s">
        <v>90</v>
      </c>
      <c r="P25" s="45">
        <f t="shared" si="8"/>
        <v>16211.340635293576</v>
      </c>
      <c r="Q25" s="45">
        <v>10853.25</v>
      </c>
      <c r="R25" s="45">
        <f t="shared" si="19"/>
        <v>2111348793</v>
      </c>
      <c r="S25" s="45">
        <f t="shared" si="9"/>
        <v>16936.685079453182</v>
      </c>
      <c r="T25" s="45">
        <v>4900.58</v>
      </c>
      <c r="U25" s="45">
        <v>995994962</v>
      </c>
      <c r="V25" s="81">
        <f t="shared" si="10"/>
        <v>15614.195408670954</v>
      </c>
      <c r="W25" s="45">
        <v>5952.67</v>
      </c>
      <c r="X25" s="46">
        <v>1115353831</v>
      </c>
      <c r="Y25" s="182"/>
      <c r="Z25" s="155"/>
      <c r="AA25" s="44" t="s">
        <v>90</v>
      </c>
      <c r="AB25" s="45">
        <f t="shared" si="11"/>
        <v>125711.83950617284</v>
      </c>
      <c r="AC25" s="45">
        <f t="shared" si="20"/>
        <v>243</v>
      </c>
      <c r="AD25" s="45">
        <f t="shared" si="21"/>
        <v>30547977</v>
      </c>
      <c r="AE25" s="45">
        <f t="shared" si="12"/>
        <v>148768.5</v>
      </c>
      <c r="AF25" s="45">
        <v>132</v>
      </c>
      <c r="AG25" s="45">
        <v>19637442</v>
      </c>
      <c r="AH25" s="45">
        <f t="shared" si="13"/>
        <v>98293.108108108107</v>
      </c>
      <c r="AI25" s="45">
        <v>111</v>
      </c>
      <c r="AJ25" s="46">
        <v>10910535</v>
      </c>
      <c r="AK25" s="182"/>
      <c r="AL25" s="155"/>
      <c r="AM25" s="44" t="s">
        <v>90</v>
      </c>
      <c r="AN25" s="45">
        <f t="shared" si="14"/>
        <v>930924.5555555555</v>
      </c>
      <c r="AO25" s="45">
        <f t="shared" si="22"/>
        <v>36</v>
      </c>
      <c r="AP25" s="45">
        <f t="shared" si="23"/>
        <v>33513284</v>
      </c>
      <c r="AQ25" s="45">
        <f t="shared" si="15"/>
        <v>997864.04166666663</v>
      </c>
      <c r="AR25" s="45">
        <v>24</v>
      </c>
      <c r="AS25" s="45">
        <v>23948737</v>
      </c>
      <c r="AT25" s="45">
        <f t="shared" si="16"/>
        <v>797045.58333333337</v>
      </c>
      <c r="AU25" s="45">
        <v>12</v>
      </c>
      <c r="AV25" s="46">
        <v>9564547</v>
      </c>
    </row>
    <row r="26" spans="1:48" ht="24" customHeight="1">
      <c r="A26" s="182"/>
      <c r="B26" s="155"/>
      <c r="C26" s="44" t="s">
        <v>91</v>
      </c>
      <c r="D26" s="45">
        <f t="shared" si="5"/>
        <v>1233947.776683087</v>
      </c>
      <c r="E26" s="45">
        <f t="shared" si="17"/>
        <v>1218</v>
      </c>
      <c r="F26" s="45">
        <f t="shared" si="18"/>
        <v>1502948392</v>
      </c>
      <c r="G26" s="45">
        <f t="shared" si="6"/>
        <v>1241658.9763113367</v>
      </c>
      <c r="H26" s="45">
        <v>591</v>
      </c>
      <c r="I26" s="45">
        <v>733820455</v>
      </c>
      <c r="J26" s="45">
        <f t="shared" si="7"/>
        <v>1226679.3253588516</v>
      </c>
      <c r="K26" s="45">
        <v>627</v>
      </c>
      <c r="L26" s="46">
        <v>769127937</v>
      </c>
      <c r="M26" s="182"/>
      <c r="N26" s="155"/>
      <c r="O26" s="44" t="s">
        <v>91</v>
      </c>
      <c r="P26" s="45">
        <f t="shared" si="8"/>
        <v>15575.855225881603</v>
      </c>
      <c r="Q26" s="45">
        <v>10748.33</v>
      </c>
      <c r="R26" s="45">
        <f t="shared" si="19"/>
        <v>2008973184</v>
      </c>
      <c r="S26" s="45">
        <f t="shared" si="9"/>
        <v>16421.957304769337</v>
      </c>
      <c r="T26" s="45">
        <v>4665.08</v>
      </c>
      <c r="U26" s="45">
        <v>919316935</v>
      </c>
      <c r="V26" s="81">
        <f t="shared" si="10"/>
        <v>14927.002410991932</v>
      </c>
      <c r="W26" s="45">
        <v>6083.25</v>
      </c>
      <c r="X26" s="46">
        <v>1089656249</v>
      </c>
      <c r="Y26" s="182"/>
      <c r="Z26" s="155"/>
      <c r="AA26" s="44" t="s">
        <v>91</v>
      </c>
      <c r="AB26" s="45">
        <f t="shared" si="11"/>
        <v>100186.88444444444</v>
      </c>
      <c r="AC26" s="45">
        <f t="shared" si="20"/>
        <v>225</v>
      </c>
      <c r="AD26" s="45">
        <f t="shared" si="21"/>
        <v>22542049</v>
      </c>
      <c r="AE26" s="45">
        <f t="shared" si="12"/>
        <v>117359.21929824562</v>
      </c>
      <c r="AF26" s="45">
        <v>114</v>
      </c>
      <c r="AG26" s="45">
        <v>13378951</v>
      </c>
      <c r="AH26" s="45">
        <f t="shared" si="13"/>
        <v>82550.432432432426</v>
      </c>
      <c r="AI26" s="45">
        <v>111</v>
      </c>
      <c r="AJ26" s="46">
        <v>9163098</v>
      </c>
      <c r="AK26" s="182"/>
      <c r="AL26" s="155"/>
      <c r="AM26" s="44" t="s">
        <v>91</v>
      </c>
      <c r="AN26" s="45">
        <f t="shared" si="14"/>
        <v>928309.90666666662</v>
      </c>
      <c r="AO26" s="45">
        <f t="shared" si="22"/>
        <v>75</v>
      </c>
      <c r="AP26" s="45">
        <f t="shared" si="23"/>
        <v>69623243</v>
      </c>
      <c r="AQ26" s="45">
        <f t="shared" si="15"/>
        <v>947690.76086956519</v>
      </c>
      <c r="AR26" s="45">
        <v>46</v>
      </c>
      <c r="AS26" s="45">
        <v>43593775</v>
      </c>
      <c r="AT26" s="45">
        <f t="shared" si="16"/>
        <v>897567.86206896557</v>
      </c>
      <c r="AU26" s="45">
        <v>29</v>
      </c>
      <c r="AV26" s="46">
        <v>26029468</v>
      </c>
    </row>
    <row r="27" spans="1:48" ht="24" customHeight="1">
      <c r="A27" s="182"/>
      <c r="B27" s="155"/>
      <c r="C27" s="44" t="s">
        <v>92</v>
      </c>
      <c r="D27" s="45">
        <f t="shared" si="5"/>
        <v>1074535.5698924731</v>
      </c>
      <c r="E27" s="45">
        <f t="shared" si="17"/>
        <v>93</v>
      </c>
      <c r="F27" s="45">
        <f t="shared" si="18"/>
        <v>99931808</v>
      </c>
      <c r="G27" s="45">
        <f t="shared" si="6"/>
        <v>1215053.8245614036</v>
      </c>
      <c r="H27" s="45">
        <v>57</v>
      </c>
      <c r="I27" s="45">
        <v>69258068</v>
      </c>
      <c r="J27" s="45">
        <f t="shared" si="7"/>
        <v>852048.33333333337</v>
      </c>
      <c r="K27" s="45">
        <v>36</v>
      </c>
      <c r="L27" s="46">
        <v>30673740</v>
      </c>
      <c r="M27" s="182"/>
      <c r="N27" s="155"/>
      <c r="O27" s="44" t="s">
        <v>92</v>
      </c>
      <c r="P27" s="45">
        <f t="shared" si="8"/>
        <v>16772.277886223059</v>
      </c>
      <c r="Q27" s="45">
        <v>809.42</v>
      </c>
      <c r="R27" s="45">
        <f t="shared" si="19"/>
        <v>162909806</v>
      </c>
      <c r="S27" s="45">
        <f t="shared" si="9"/>
        <v>19590.359694989107</v>
      </c>
      <c r="T27" s="45">
        <v>382.5</v>
      </c>
      <c r="U27" s="45">
        <v>89919751</v>
      </c>
      <c r="V27" s="81">
        <f t="shared" si="10"/>
        <v>14247.410717074235</v>
      </c>
      <c r="W27" s="45">
        <v>426.92</v>
      </c>
      <c r="X27" s="46">
        <v>72990055</v>
      </c>
      <c r="Y27" s="182"/>
      <c r="Z27" s="155"/>
      <c r="AA27" s="44" t="s">
        <v>92</v>
      </c>
      <c r="AB27" s="45">
        <f t="shared" si="11"/>
        <v>87316.833333333328</v>
      </c>
      <c r="AC27" s="45">
        <f t="shared" si="20"/>
        <v>12</v>
      </c>
      <c r="AD27" s="45">
        <f t="shared" si="21"/>
        <v>1047802</v>
      </c>
      <c r="AE27" s="45">
        <f t="shared" si="12"/>
        <v>80959</v>
      </c>
      <c r="AF27" s="45">
        <v>9</v>
      </c>
      <c r="AG27" s="45">
        <v>728631</v>
      </c>
      <c r="AH27" s="45">
        <f t="shared" si="13"/>
        <v>106390.33333333333</v>
      </c>
      <c r="AI27" s="45">
        <v>3</v>
      </c>
      <c r="AJ27" s="46">
        <v>319171</v>
      </c>
      <c r="AK27" s="182"/>
      <c r="AL27" s="155"/>
      <c r="AM27" s="44" t="s">
        <v>92</v>
      </c>
      <c r="AN27" s="45">
        <f t="shared" si="14"/>
        <v>640642</v>
      </c>
      <c r="AO27" s="45">
        <f t="shared" si="22"/>
        <v>3</v>
      </c>
      <c r="AP27" s="45">
        <f t="shared" si="23"/>
        <v>1921926</v>
      </c>
      <c r="AQ27" s="45">
        <f t="shared" si="15"/>
        <v>897700</v>
      </c>
      <c r="AR27" s="45">
        <v>1</v>
      </c>
      <c r="AS27" s="45">
        <v>897700</v>
      </c>
      <c r="AT27" s="45">
        <f t="shared" si="16"/>
        <v>512113</v>
      </c>
      <c r="AU27" s="45">
        <v>2</v>
      </c>
      <c r="AV27" s="46">
        <v>1024226</v>
      </c>
    </row>
    <row r="28" spans="1:48" ht="24" customHeight="1">
      <c r="A28" s="183"/>
      <c r="B28" s="156"/>
      <c r="C28" s="44" t="s">
        <v>93</v>
      </c>
      <c r="D28" s="45">
        <f t="shared" si="5"/>
        <v>728319</v>
      </c>
      <c r="E28" s="45">
        <f t="shared" si="17"/>
        <v>12</v>
      </c>
      <c r="F28" s="45">
        <f t="shared" si="18"/>
        <v>8739828</v>
      </c>
      <c r="G28" s="45">
        <f t="shared" si="6"/>
        <v>843956.42857142852</v>
      </c>
      <c r="H28" s="45">
        <v>7</v>
      </c>
      <c r="I28" s="45">
        <v>5907695</v>
      </c>
      <c r="J28" s="45">
        <f t="shared" si="7"/>
        <v>566426.6</v>
      </c>
      <c r="K28" s="45">
        <v>5</v>
      </c>
      <c r="L28" s="46">
        <v>2832133</v>
      </c>
      <c r="M28" s="183"/>
      <c r="N28" s="156"/>
      <c r="O28" s="44" t="s">
        <v>93</v>
      </c>
      <c r="P28" s="45">
        <f t="shared" si="8"/>
        <v>14764.592540598622</v>
      </c>
      <c r="Q28" s="45">
        <v>192.33</v>
      </c>
      <c r="R28" s="45">
        <f t="shared" si="19"/>
        <v>34076089</v>
      </c>
      <c r="S28" s="45">
        <f t="shared" si="9"/>
        <v>16008.823632970671</v>
      </c>
      <c r="T28" s="45">
        <v>94.67</v>
      </c>
      <c r="U28" s="45">
        <v>18186664</v>
      </c>
      <c r="V28" s="81">
        <f t="shared" si="10"/>
        <v>13557.067164943175</v>
      </c>
      <c r="W28" s="45">
        <v>97.67</v>
      </c>
      <c r="X28" s="46">
        <v>15889425</v>
      </c>
      <c r="Y28" s="183"/>
      <c r="Z28" s="156"/>
      <c r="AA28" s="44" t="s">
        <v>93</v>
      </c>
      <c r="AB28" s="45">
        <f t="shared" si="11"/>
        <v>266980</v>
      </c>
      <c r="AC28" s="45">
        <f t="shared" si="20"/>
        <v>2</v>
      </c>
      <c r="AD28" s="45">
        <f t="shared" si="21"/>
        <v>533960</v>
      </c>
      <c r="AE28" s="45">
        <f t="shared" si="12"/>
        <v>266980</v>
      </c>
      <c r="AF28" s="45">
        <v>2</v>
      </c>
      <c r="AG28" s="45">
        <v>533960</v>
      </c>
      <c r="AH28" s="45">
        <v>0</v>
      </c>
      <c r="AI28" s="45">
        <v>0</v>
      </c>
      <c r="AJ28" s="46">
        <v>0</v>
      </c>
      <c r="AK28" s="183"/>
      <c r="AL28" s="156"/>
      <c r="AM28" s="44" t="s">
        <v>93</v>
      </c>
      <c r="AN28" s="45">
        <f t="shared" si="14"/>
        <v>481306.5</v>
      </c>
      <c r="AO28" s="45">
        <f t="shared" si="22"/>
        <v>2</v>
      </c>
      <c r="AP28" s="45">
        <f t="shared" si="23"/>
        <v>962613</v>
      </c>
      <c r="AQ28" s="45">
        <f t="shared" si="15"/>
        <v>481306.5</v>
      </c>
      <c r="AR28" s="45">
        <v>2</v>
      </c>
      <c r="AS28" s="45">
        <v>962613</v>
      </c>
      <c r="AT28" s="45">
        <v>0</v>
      </c>
      <c r="AU28" s="45">
        <v>0</v>
      </c>
      <c r="AV28" s="46">
        <v>0</v>
      </c>
    </row>
    <row r="29" spans="1:48" ht="28.9" customHeight="1">
      <c r="A29" s="176" t="s">
        <v>145</v>
      </c>
      <c r="B29" s="161" t="s">
        <v>63</v>
      </c>
      <c r="C29" s="41" t="s">
        <v>76</v>
      </c>
      <c r="D29" s="42">
        <f t="shared" si="5"/>
        <v>1246946.1739816202</v>
      </c>
      <c r="E29" s="42">
        <f>SUM(E30:E38)</f>
        <v>76715</v>
      </c>
      <c r="F29" s="42">
        <f>SUM(F30:F38)</f>
        <v>95659475737</v>
      </c>
      <c r="G29" s="42">
        <f t="shared" si="6"/>
        <v>1254386.7013301088</v>
      </c>
      <c r="H29" s="42">
        <f>SUM(H30:H38)</f>
        <v>37215</v>
      </c>
      <c r="I29" s="42">
        <f>SUM(I30:I38)</f>
        <v>46682001090</v>
      </c>
      <c r="J29" s="42">
        <f t="shared" si="7"/>
        <v>1239936.0670126583</v>
      </c>
      <c r="K29" s="42">
        <f>SUM(K30:K38)</f>
        <v>39500</v>
      </c>
      <c r="L29" s="43">
        <f>SUM(L30:L38)</f>
        <v>48977474647</v>
      </c>
      <c r="M29" s="176" t="s">
        <v>146</v>
      </c>
      <c r="N29" s="161" t="s">
        <v>63</v>
      </c>
      <c r="O29" s="41" t="s">
        <v>76</v>
      </c>
      <c r="P29" s="42">
        <f>R29/Q29/12</f>
        <v>15612.903519028951</v>
      </c>
      <c r="Q29" s="42">
        <v>562455.92000000004</v>
      </c>
      <c r="R29" s="42">
        <f>SUM(R30:R38)</f>
        <v>105378840152</v>
      </c>
      <c r="S29" s="42">
        <f>U29/T29/12</f>
        <v>16666.22272276767</v>
      </c>
      <c r="T29" s="42">
        <v>256109.5</v>
      </c>
      <c r="U29" s="42">
        <f>SUM(U30:U38)</f>
        <v>51220535621</v>
      </c>
      <c r="V29" s="42">
        <f>X29/W29/12</f>
        <v>14732.315279708508</v>
      </c>
      <c r="W29" s="42">
        <v>306346.42</v>
      </c>
      <c r="X29" s="43">
        <f>SUM(X30:X38)</f>
        <v>54158304531</v>
      </c>
      <c r="Y29" s="176" t="s">
        <v>150</v>
      </c>
      <c r="Z29" s="161" t="s">
        <v>63</v>
      </c>
      <c r="AA29" s="41" t="s">
        <v>76</v>
      </c>
      <c r="AB29" s="42">
        <f t="shared" si="11"/>
        <v>112278.27045038041</v>
      </c>
      <c r="AC29" s="42">
        <f>SUM(AC30:AC38)</f>
        <v>18007</v>
      </c>
      <c r="AD29" s="42">
        <f>SUM(AD30:AD38)</f>
        <v>2021794816</v>
      </c>
      <c r="AE29" s="42">
        <f t="shared" si="12"/>
        <v>136081.57394995532</v>
      </c>
      <c r="AF29" s="42">
        <f>SUM(AF30:AF38)</f>
        <v>8952</v>
      </c>
      <c r="AG29" s="42">
        <f>SUM(AG30:AG38)</f>
        <v>1218202250</v>
      </c>
      <c r="AH29" s="42">
        <f t="shared" si="13"/>
        <v>88745.727885146334</v>
      </c>
      <c r="AI29" s="42">
        <f>SUM(AI30:AI38)</f>
        <v>9055</v>
      </c>
      <c r="AJ29" s="43">
        <f>SUM(AJ30:AJ38)</f>
        <v>803592566</v>
      </c>
      <c r="AK29" s="176" t="s">
        <v>152</v>
      </c>
      <c r="AL29" s="161" t="s">
        <v>63</v>
      </c>
      <c r="AM29" s="41" t="s">
        <v>76</v>
      </c>
      <c r="AN29" s="42">
        <f t="shared" si="14"/>
        <v>899839.85428050999</v>
      </c>
      <c r="AO29" s="42">
        <f>SUM(AO30:AO38)</f>
        <v>2745</v>
      </c>
      <c r="AP29" s="42">
        <f>SUM(AP30:AP38)</f>
        <v>2470060400</v>
      </c>
      <c r="AQ29" s="42">
        <f t="shared" si="15"/>
        <v>933069.54935370153</v>
      </c>
      <c r="AR29" s="42">
        <f>SUM(AR30:AR38)</f>
        <v>1702</v>
      </c>
      <c r="AS29" s="42">
        <f>SUM(AS30:AS38)</f>
        <v>1588084373</v>
      </c>
      <c r="AT29" s="42">
        <f t="shared" si="16"/>
        <v>845614.5992329818</v>
      </c>
      <c r="AU29" s="42">
        <f>SUM(AU30:AU38)</f>
        <v>1043</v>
      </c>
      <c r="AV29" s="43">
        <f>SUM(AV30:AV38)</f>
        <v>881976027</v>
      </c>
    </row>
    <row r="30" spans="1:48" ht="28.9" customHeight="1">
      <c r="A30" s="177"/>
      <c r="B30" s="162"/>
      <c r="C30" s="51" t="s">
        <v>137</v>
      </c>
      <c r="D30" s="45">
        <v>0</v>
      </c>
      <c r="E30" s="45">
        <f t="shared" ref="E30:E38" si="24">H30+K30</f>
        <v>0</v>
      </c>
      <c r="F30" s="45">
        <f t="shared" ref="F30:F38" si="25">I30+L30</f>
        <v>0</v>
      </c>
      <c r="G30" s="45">
        <v>0</v>
      </c>
      <c r="H30" s="45">
        <v>0</v>
      </c>
      <c r="I30" s="45">
        <v>0</v>
      </c>
      <c r="J30" s="45">
        <v>0</v>
      </c>
      <c r="K30" s="45">
        <v>0</v>
      </c>
      <c r="L30" s="46">
        <v>0</v>
      </c>
      <c r="M30" s="177"/>
      <c r="N30" s="162"/>
      <c r="O30" s="51" t="s">
        <v>137</v>
      </c>
      <c r="P30" s="45">
        <v>0</v>
      </c>
      <c r="Q30" s="45">
        <v>0</v>
      </c>
      <c r="R30" s="45">
        <f t="shared" ref="R30:R38" si="26">U30+X30</f>
        <v>0</v>
      </c>
      <c r="S30" s="45">
        <v>0</v>
      </c>
      <c r="T30" s="45">
        <v>0</v>
      </c>
      <c r="U30" s="45">
        <v>0</v>
      </c>
      <c r="V30" s="45">
        <v>0</v>
      </c>
      <c r="W30" s="45">
        <v>0</v>
      </c>
      <c r="X30" s="46">
        <v>0</v>
      </c>
      <c r="Y30" s="177"/>
      <c r="Z30" s="162"/>
      <c r="AA30" s="51" t="s">
        <v>137</v>
      </c>
      <c r="AB30" s="45">
        <v>0</v>
      </c>
      <c r="AC30" s="45">
        <f t="shared" ref="AC30:AC38" si="27">AF30+AI30</f>
        <v>0</v>
      </c>
      <c r="AD30" s="45">
        <f t="shared" ref="AD30:AD38" si="28">AG30+AJ30</f>
        <v>0</v>
      </c>
      <c r="AE30" s="45">
        <v>0</v>
      </c>
      <c r="AF30" s="45">
        <v>0</v>
      </c>
      <c r="AG30" s="45">
        <v>0</v>
      </c>
      <c r="AH30" s="45">
        <v>0</v>
      </c>
      <c r="AI30" s="45">
        <v>0</v>
      </c>
      <c r="AJ30" s="46">
        <v>0</v>
      </c>
      <c r="AK30" s="177"/>
      <c r="AL30" s="162"/>
      <c r="AM30" s="51" t="s">
        <v>137</v>
      </c>
      <c r="AN30" s="45">
        <v>0</v>
      </c>
      <c r="AO30" s="45">
        <f t="shared" ref="AO30:AO38" si="29">AR30+AU30</f>
        <v>0</v>
      </c>
      <c r="AP30" s="45">
        <f t="shared" ref="AP30:AP38" si="30">AS30+AV30</f>
        <v>0</v>
      </c>
      <c r="AQ30" s="45">
        <v>0</v>
      </c>
      <c r="AR30" s="45">
        <v>0</v>
      </c>
      <c r="AS30" s="45">
        <v>0</v>
      </c>
      <c r="AT30" s="45">
        <v>0</v>
      </c>
      <c r="AU30" s="45">
        <v>0</v>
      </c>
      <c r="AV30" s="46">
        <v>0</v>
      </c>
    </row>
    <row r="31" spans="1:48" ht="28.9" customHeight="1">
      <c r="A31" s="177"/>
      <c r="B31" s="162"/>
      <c r="C31" s="44" t="s">
        <v>112</v>
      </c>
      <c r="D31" s="45">
        <f t="shared" si="5"/>
        <v>631280</v>
      </c>
      <c r="E31" s="45">
        <f t="shared" si="24"/>
        <v>3</v>
      </c>
      <c r="F31" s="45">
        <f t="shared" si="25"/>
        <v>1893840</v>
      </c>
      <c r="G31" s="45">
        <f t="shared" si="6"/>
        <v>45840</v>
      </c>
      <c r="H31" s="45">
        <v>1</v>
      </c>
      <c r="I31" s="45">
        <v>45840</v>
      </c>
      <c r="J31" s="45">
        <f t="shared" si="7"/>
        <v>924000</v>
      </c>
      <c r="K31" s="45">
        <v>2</v>
      </c>
      <c r="L31" s="46">
        <v>1848000</v>
      </c>
      <c r="M31" s="177"/>
      <c r="N31" s="162"/>
      <c r="O31" s="44" t="s">
        <v>112</v>
      </c>
      <c r="P31" s="45">
        <v>0</v>
      </c>
      <c r="Q31" s="45">
        <v>0</v>
      </c>
      <c r="R31" s="45">
        <f t="shared" si="26"/>
        <v>0</v>
      </c>
      <c r="S31" s="45">
        <v>0</v>
      </c>
      <c r="T31" s="45">
        <v>0</v>
      </c>
      <c r="U31" s="45">
        <v>0</v>
      </c>
      <c r="V31" s="45">
        <v>0</v>
      </c>
      <c r="W31" s="45">
        <v>0</v>
      </c>
      <c r="X31" s="46">
        <v>0</v>
      </c>
      <c r="Y31" s="177"/>
      <c r="Z31" s="162"/>
      <c r="AA31" s="44" t="s">
        <v>112</v>
      </c>
      <c r="AB31" s="45">
        <v>0</v>
      </c>
      <c r="AC31" s="45">
        <f t="shared" si="27"/>
        <v>0</v>
      </c>
      <c r="AD31" s="45">
        <f t="shared" si="28"/>
        <v>0</v>
      </c>
      <c r="AE31" s="45">
        <v>0</v>
      </c>
      <c r="AF31" s="45">
        <v>0</v>
      </c>
      <c r="AG31" s="45">
        <v>0</v>
      </c>
      <c r="AH31" s="45">
        <v>0</v>
      </c>
      <c r="AI31" s="45">
        <v>0</v>
      </c>
      <c r="AJ31" s="46">
        <v>0</v>
      </c>
      <c r="AK31" s="177"/>
      <c r="AL31" s="162"/>
      <c r="AM31" s="44" t="s">
        <v>112</v>
      </c>
      <c r="AN31" s="45">
        <v>0</v>
      </c>
      <c r="AO31" s="45">
        <f t="shared" si="29"/>
        <v>0</v>
      </c>
      <c r="AP31" s="45">
        <f t="shared" si="30"/>
        <v>0</v>
      </c>
      <c r="AQ31" s="45">
        <v>0</v>
      </c>
      <c r="AR31" s="45">
        <v>0</v>
      </c>
      <c r="AS31" s="45">
        <v>0</v>
      </c>
      <c r="AT31" s="45">
        <v>0</v>
      </c>
      <c r="AU31" s="45">
        <v>0</v>
      </c>
      <c r="AV31" s="46">
        <v>0</v>
      </c>
    </row>
    <row r="32" spans="1:48" ht="28.9" customHeight="1">
      <c r="A32" s="177"/>
      <c r="B32" s="162"/>
      <c r="C32" s="44" t="s">
        <v>113</v>
      </c>
      <c r="D32" s="45">
        <f t="shared" si="5"/>
        <v>1246833.1195928752</v>
      </c>
      <c r="E32" s="45">
        <f t="shared" si="24"/>
        <v>786</v>
      </c>
      <c r="F32" s="45">
        <f t="shared" si="25"/>
        <v>980010832</v>
      </c>
      <c r="G32" s="45">
        <f t="shared" si="6"/>
        <v>1168494.0418604652</v>
      </c>
      <c r="H32" s="45">
        <v>215</v>
      </c>
      <c r="I32" s="45">
        <v>251226219</v>
      </c>
      <c r="J32" s="45">
        <f t="shared" si="7"/>
        <v>1276330.3204903677</v>
      </c>
      <c r="K32" s="45">
        <v>571</v>
      </c>
      <c r="L32" s="46">
        <v>728784613</v>
      </c>
      <c r="M32" s="177"/>
      <c r="N32" s="162"/>
      <c r="O32" s="44" t="s">
        <v>113</v>
      </c>
      <c r="P32" s="45">
        <v>0</v>
      </c>
      <c r="Q32" s="45">
        <v>0</v>
      </c>
      <c r="R32" s="45">
        <f t="shared" si="26"/>
        <v>0</v>
      </c>
      <c r="S32" s="45">
        <v>0</v>
      </c>
      <c r="T32" s="45">
        <v>0</v>
      </c>
      <c r="U32" s="45">
        <v>0</v>
      </c>
      <c r="V32" s="45">
        <v>0</v>
      </c>
      <c r="W32" s="45">
        <v>0</v>
      </c>
      <c r="X32" s="46">
        <v>0</v>
      </c>
      <c r="Y32" s="177"/>
      <c r="Z32" s="162"/>
      <c r="AA32" s="44" t="s">
        <v>113</v>
      </c>
      <c r="AB32" s="45">
        <v>0</v>
      </c>
      <c r="AC32" s="45">
        <f t="shared" si="27"/>
        <v>0</v>
      </c>
      <c r="AD32" s="45">
        <f t="shared" si="28"/>
        <v>0</v>
      </c>
      <c r="AE32" s="45">
        <v>0</v>
      </c>
      <c r="AF32" s="45">
        <v>0</v>
      </c>
      <c r="AG32" s="45">
        <v>0</v>
      </c>
      <c r="AH32" s="45">
        <v>0</v>
      </c>
      <c r="AI32" s="45">
        <v>0</v>
      </c>
      <c r="AJ32" s="46">
        <v>0</v>
      </c>
      <c r="AK32" s="177"/>
      <c r="AL32" s="162"/>
      <c r="AM32" s="44" t="s">
        <v>113</v>
      </c>
      <c r="AN32" s="45">
        <v>0</v>
      </c>
      <c r="AO32" s="45">
        <f t="shared" si="29"/>
        <v>0</v>
      </c>
      <c r="AP32" s="45">
        <f t="shared" si="30"/>
        <v>0</v>
      </c>
      <c r="AQ32" s="45">
        <v>0</v>
      </c>
      <c r="AR32" s="45">
        <v>0</v>
      </c>
      <c r="AS32" s="45">
        <v>0</v>
      </c>
      <c r="AT32" s="45">
        <v>0</v>
      </c>
      <c r="AU32" s="45">
        <v>0</v>
      </c>
      <c r="AV32" s="46">
        <v>0</v>
      </c>
    </row>
    <row r="33" spans="1:48" ht="28.9" customHeight="1">
      <c r="A33" s="177"/>
      <c r="B33" s="162"/>
      <c r="C33" s="44" t="s">
        <v>114</v>
      </c>
      <c r="D33" s="45">
        <f t="shared" si="5"/>
        <v>1497869.3236199953</v>
      </c>
      <c r="E33" s="45">
        <f t="shared" si="24"/>
        <v>4221</v>
      </c>
      <c r="F33" s="45">
        <f t="shared" si="25"/>
        <v>6322506415</v>
      </c>
      <c r="G33" s="45">
        <f t="shared" si="6"/>
        <v>1455407.68387471</v>
      </c>
      <c r="H33" s="45">
        <v>1724</v>
      </c>
      <c r="I33" s="45">
        <v>2509122847</v>
      </c>
      <c r="J33" s="45">
        <f t="shared" si="7"/>
        <v>1527186.0504605526</v>
      </c>
      <c r="K33" s="45">
        <v>2497</v>
      </c>
      <c r="L33" s="46">
        <v>3813383568</v>
      </c>
      <c r="M33" s="177"/>
      <c r="N33" s="162"/>
      <c r="O33" s="44" t="s">
        <v>114</v>
      </c>
      <c r="P33" s="45">
        <v>0</v>
      </c>
      <c r="Q33" s="45">
        <v>0</v>
      </c>
      <c r="R33" s="45">
        <f t="shared" si="26"/>
        <v>0</v>
      </c>
      <c r="S33" s="45">
        <v>0</v>
      </c>
      <c r="T33" s="45">
        <v>0</v>
      </c>
      <c r="U33" s="45">
        <v>0</v>
      </c>
      <c r="V33" s="45">
        <v>0</v>
      </c>
      <c r="W33" s="45">
        <v>0</v>
      </c>
      <c r="X33" s="46">
        <v>0</v>
      </c>
      <c r="Y33" s="177"/>
      <c r="Z33" s="162"/>
      <c r="AA33" s="44" t="s">
        <v>114</v>
      </c>
      <c r="AB33" s="45">
        <v>0</v>
      </c>
      <c r="AC33" s="45">
        <f t="shared" si="27"/>
        <v>0</v>
      </c>
      <c r="AD33" s="45">
        <f t="shared" si="28"/>
        <v>0</v>
      </c>
      <c r="AE33" s="45">
        <v>0</v>
      </c>
      <c r="AF33" s="45">
        <v>0</v>
      </c>
      <c r="AG33" s="45">
        <v>0</v>
      </c>
      <c r="AH33" s="45">
        <v>0</v>
      </c>
      <c r="AI33" s="45">
        <v>0</v>
      </c>
      <c r="AJ33" s="46">
        <v>0</v>
      </c>
      <c r="AK33" s="177"/>
      <c r="AL33" s="162"/>
      <c r="AM33" s="44" t="s">
        <v>114</v>
      </c>
      <c r="AN33" s="45">
        <v>0</v>
      </c>
      <c r="AO33" s="45">
        <f t="shared" si="29"/>
        <v>0</v>
      </c>
      <c r="AP33" s="45">
        <f t="shared" si="30"/>
        <v>0</v>
      </c>
      <c r="AQ33" s="45">
        <v>0</v>
      </c>
      <c r="AR33" s="45">
        <v>0</v>
      </c>
      <c r="AS33" s="45">
        <v>0</v>
      </c>
      <c r="AT33" s="45">
        <v>0</v>
      </c>
      <c r="AU33" s="45">
        <v>0</v>
      </c>
      <c r="AV33" s="46">
        <v>0</v>
      </c>
    </row>
    <row r="34" spans="1:48" ht="28.9" customHeight="1">
      <c r="A34" s="177"/>
      <c r="B34" s="162"/>
      <c r="C34" s="44" t="s">
        <v>115</v>
      </c>
      <c r="D34" s="45">
        <f t="shared" si="5"/>
        <v>1442794.9124856815</v>
      </c>
      <c r="E34" s="45">
        <f t="shared" si="24"/>
        <v>34920</v>
      </c>
      <c r="F34" s="45">
        <f t="shared" si="25"/>
        <v>50382398344</v>
      </c>
      <c r="G34" s="45">
        <f t="shared" si="6"/>
        <v>1444037.9639430817</v>
      </c>
      <c r="H34" s="45">
        <v>15531</v>
      </c>
      <c r="I34" s="45">
        <v>22427353618</v>
      </c>
      <c r="J34" s="45">
        <f t="shared" si="7"/>
        <v>1441799.2019186136</v>
      </c>
      <c r="K34" s="45">
        <v>19389</v>
      </c>
      <c r="L34" s="46">
        <v>27955044726</v>
      </c>
      <c r="M34" s="177"/>
      <c r="N34" s="162"/>
      <c r="O34" s="44" t="s">
        <v>115</v>
      </c>
      <c r="P34" s="45">
        <v>0</v>
      </c>
      <c r="Q34" s="45">
        <v>0</v>
      </c>
      <c r="R34" s="45">
        <f t="shared" si="26"/>
        <v>0</v>
      </c>
      <c r="S34" s="45">
        <v>0</v>
      </c>
      <c r="T34" s="45">
        <v>0</v>
      </c>
      <c r="U34" s="45">
        <v>0</v>
      </c>
      <c r="V34" s="45">
        <v>0</v>
      </c>
      <c r="W34" s="45">
        <v>0</v>
      </c>
      <c r="X34" s="46">
        <v>0</v>
      </c>
      <c r="Y34" s="177"/>
      <c r="Z34" s="162"/>
      <c r="AA34" s="44" t="s">
        <v>115</v>
      </c>
      <c r="AB34" s="45">
        <v>0</v>
      </c>
      <c r="AC34" s="45">
        <f t="shared" si="27"/>
        <v>0</v>
      </c>
      <c r="AD34" s="45">
        <f t="shared" si="28"/>
        <v>0</v>
      </c>
      <c r="AE34" s="45">
        <v>0</v>
      </c>
      <c r="AF34" s="45">
        <v>0</v>
      </c>
      <c r="AG34" s="45">
        <v>0</v>
      </c>
      <c r="AH34" s="45">
        <v>0</v>
      </c>
      <c r="AI34" s="45">
        <v>0</v>
      </c>
      <c r="AJ34" s="46">
        <v>0</v>
      </c>
      <c r="AK34" s="177"/>
      <c r="AL34" s="162"/>
      <c r="AM34" s="44" t="s">
        <v>115</v>
      </c>
      <c r="AN34" s="45">
        <v>0</v>
      </c>
      <c r="AO34" s="45">
        <f t="shared" si="29"/>
        <v>0</v>
      </c>
      <c r="AP34" s="45">
        <f t="shared" si="30"/>
        <v>0</v>
      </c>
      <c r="AQ34" s="45">
        <v>0</v>
      </c>
      <c r="AR34" s="45">
        <v>0</v>
      </c>
      <c r="AS34" s="45">
        <v>0</v>
      </c>
      <c r="AT34" s="45">
        <v>0</v>
      </c>
      <c r="AU34" s="45">
        <v>0</v>
      </c>
      <c r="AV34" s="46">
        <v>0</v>
      </c>
    </row>
    <row r="35" spans="1:48" ht="28.9" customHeight="1">
      <c r="A35" s="177"/>
      <c r="B35" s="162"/>
      <c r="C35" s="44" t="s">
        <v>116</v>
      </c>
      <c r="D35" s="45">
        <f t="shared" si="5"/>
        <v>1095864.5190502484</v>
      </c>
      <c r="E35" s="45">
        <f t="shared" si="24"/>
        <v>21732</v>
      </c>
      <c r="F35" s="45">
        <f t="shared" si="25"/>
        <v>23815327728</v>
      </c>
      <c r="G35" s="45">
        <f t="shared" si="6"/>
        <v>1185759.8899188875</v>
      </c>
      <c r="H35" s="45">
        <v>11219</v>
      </c>
      <c r="I35" s="45">
        <v>13303040205</v>
      </c>
      <c r="J35" s="45">
        <f t="shared" si="7"/>
        <v>999932.22895462764</v>
      </c>
      <c r="K35" s="45">
        <v>10513</v>
      </c>
      <c r="L35" s="46">
        <v>10512287523</v>
      </c>
      <c r="M35" s="177"/>
      <c r="N35" s="162"/>
      <c r="O35" s="44" t="s">
        <v>116</v>
      </c>
      <c r="P35" s="45">
        <f t="shared" ref="P35:P38" si="31">R35/Q35/12</f>
        <v>14121.829628255364</v>
      </c>
      <c r="Q35" s="45">
        <v>115832.92</v>
      </c>
      <c r="R35" s="45">
        <f t="shared" si="26"/>
        <v>19629273139</v>
      </c>
      <c r="S35" s="45">
        <f t="shared" ref="S35:S38" si="32">U35/T35/12</f>
        <v>14879.176798508917</v>
      </c>
      <c r="T35" s="45">
        <v>51051.92</v>
      </c>
      <c r="U35" s="45">
        <v>9115326523</v>
      </c>
      <c r="V35" s="45">
        <f t="shared" ref="V35:V38" si="33">X35/W35/12</f>
        <v>13524.987542643677</v>
      </c>
      <c r="W35" s="45">
        <v>64781</v>
      </c>
      <c r="X35" s="46">
        <v>10513946616</v>
      </c>
      <c r="Y35" s="177"/>
      <c r="Z35" s="162"/>
      <c r="AA35" s="44" t="s">
        <v>116</v>
      </c>
      <c r="AB35" s="45">
        <v>0</v>
      </c>
      <c r="AC35" s="45">
        <f t="shared" si="27"/>
        <v>0</v>
      </c>
      <c r="AD35" s="45">
        <f t="shared" si="28"/>
        <v>0</v>
      </c>
      <c r="AE35" s="45">
        <v>0</v>
      </c>
      <c r="AF35" s="45">
        <v>0</v>
      </c>
      <c r="AG35" s="45">
        <v>0</v>
      </c>
      <c r="AH35" s="45">
        <v>0</v>
      </c>
      <c r="AI35" s="45">
        <v>0</v>
      </c>
      <c r="AJ35" s="46">
        <v>0</v>
      </c>
      <c r="AK35" s="177"/>
      <c r="AL35" s="162"/>
      <c r="AM35" s="44" t="s">
        <v>116</v>
      </c>
      <c r="AN35" s="45">
        <f t="shared" si="14"/>
        <v>1190024.2311827957</v>
      </c>
      <c r="AO35" s="45">
        <f t="shared" si="29"/>
        <v>372</v>
      </c>
      <c r="AP35" s="45">
        <f t="shared" si="30"/>
        <v>442689014</v>
      </c>
      <c r="AQ35" s="45">
        <f t="shared" si="15"/>
        <v>1201945.3500000001</v>
      </c>
      <c r="AR35" s="45">
        <v>240</v>
      </c>
      <c r="AS35" s="45">
        <v>288466884</v>
      </c>
      <c r="AT35" s="45">
        <f t="shared" si="16"/>
        <v>1168349.4696969697</v>
      </c>
      <c r="AU35" s="45">
        <v>132</v>
      </c>
      <c r="AV35" s="46">
        <v>154222130</v>
      </c>
    </row>
    <row r="36" spans="1:48" ht="28.9" customHeight="1">
      <c r="A36" s="177"/>
      <c r="B36" s="162"/>
      <c r="C36" s="44" t="s">
        <v>117</v>
      </c>
      <c r="D36" s="45">
        <f t="shared" si="5"/>
        <v>962654.08782417583</v>
      </c>
      <c r="E36" s="45">
        <f t="shared" si="24"/>
        <v>11375</v>
      </c>
      <c r="F36" s="45">
        <f t="shared" si="25"/>
        <v>10950190249</v>
      </c>
      <c r="G36" s="45">
        <f t="shared" si="6"/>
        <v>989184.48617221869</v>
      </c>
      <c r="H36" s="45">
        <v>6364</v>
      </c>
      <c r="I36" s="45">
        <v>6295170070</v>
      </c>
      <c r="J36" s="45">
        <f t="shared" si="7"/>
        <v>928960.3230892038</v>
      </c>
      <c r="K36" s="45">
        <v>5011</v>
      </c>
      <c r="L36" s="46">
        <v>4655020179</v>
      </c>
      <c r="M36" s="177"/>
      <c r="N36" s="162"/>
      <c r="O36" s="44" t="s">
        <v>117</v>
      </c>
      <c r="P36" s="45">
        <f t="shared" si="31"/>
        <v>16125.672853240399</v>
      </c>
      <c r="Q36" s="45">
        <v>256523.25</v>
      </c>
      <c r="R36" s="45">
        <f t="shared" si="26"/>
        <v>49639320105</v>
      </c>
      <c r="S36" s="45">
        <f t="shared" si="32"/>
        <v>17195.308668882943</v>
      </c>
      <c r="T36" s="45">
        <v>115346.58</v>
      </c>
      <c r="U36" s="45">
        <v>23801040564</v>
      </c>
      <c r="V36" s="45">
        <f t="shared" si="33"/>
        <v>15251.740685978781</v>
      </c>
      <c r="W36" s="45">
        <v>141176.67000000001</v>
      </c>
      <c r="X36" s="46">
        <v>25838279541</v>
      </c>
      <c r="Y36" s="177"/>
      <c r="Z36" s="162"/>
      <c r="AA36" s="44" t="s">
        <v>117</v>
      </c>
      <c r="AB36" s="45">
        <f t="shared" si="11"/>
        <v>124988.87089557624</v>
      </c>
      <c r="AC36" s="45">
        <f t="shared" si="27"/>
        <v>13857</v>
      </c>
      <c r="AD36" s="45">
        <f t="shared" si="28"/>
        <v>1731970784</v>
      </c>
      <c r="AE36" s="45">
        <f t="shared" si="12"/>
        <v>152557.76710121575</v>
      </c>
      <c r="AF36" s="45">
        <v>6827</v>
      </c>
      <c r="AG36" s="45">
        <v>1041511876</v>
      </c>
      <c r="AH36" s="45">
        <f t="shared" si="13"/>
        <v>98216.060881934565</v>
      </c>
      <c r="AI36" s="45">
        <v>7030</v>
      </c>
      <c r="AJ36" s="46">
        <v>690458908</v>
      </c>
      <c r="AK36" s="177"/>
      <c r="AL36" s="162"/>
      <c r="AM36" s="44" t="s">
        <v>117</v>
      </c>
      <c r="AN36" s="45">
        <f t="shared" si="14"/>
        <v>1064553.0941586748</v>
      </c>
      <c r="AO36" s="45">
        <f t="shared" si="29"/>
        <v>1147</v>
      </c>
      <c r="AP36" s="45">
        <f t="shared" si="30"/>
        <v>1221042399</v>
      </c>
      <c r="AQ36" s="45">
        <f t="shared" si="15"/>
        <v>1094320.9360222532</v>
      </c>
      <c r="AR36" s="45">
        <v>719</v>
      </c>
      <c r="AS36" s="45">
        <v>786816753</v>
      </c>
      <c r="AT36" s="45">
        <f t="shared" si="16"/>
        <v>1014545.9018691588</v>
      </c>
      <c r="AU36" s="45">
        <v>428</v>
      </c>
      <c r="AV36" s="46">
        <v>434225646</v>
      </c>
    </row>
    <row r="37" spans="1:48" ht="28.9" customHeight="1">
      <c r="A37" s="178"/>
      <c r="B37" s="163"/>
      <c r="C37" s="44" t="s">
        <v>118</v>
      </c>
      <c r="D37" s="45">
        <f t="shared" si="5"/>
        <v>888495.44142079633</v>
      </c>
      <c r="E37" s="45">
        <f t="shared" si="24"/>
        <v>3491</v>
      </c>
      <c r="F37" s="45">
        <f t="shared" si="25"/>
        <v>3101737586</v>
      </c>
      <c r="G37" s="45">
        <f t="shared" si="6"/>
        <v>891227.83649635036</v>
      </c>
      <c r="H37" s="45">
        <v>2055</v>
      </c>
      <c r="I37" s="45">
        <v>1831473204</v>
      </c>
      <c r="J37" s="45">
        <f t="shared" si="7"/>
        <v>884585.22423398332</v>
      </c>
      <c r="K37" s="45">
        <v>1436</v>
      </c>
      <c r="L37" s="46">
        <v>1270264382</v>
      </c>
      <c r="M37" s="178"/>
      <c r="N37" s="163"/>
      <c r="O37" s="44" t="s">
        <v>118</v>
      </c>
      <c r="P37" s="45">
        <f t="shared" si="31"/>
        <v>16696.481734565536</v>
      </c>
      <c r="Q37" s="45">
        <v>150674.57999999999</v>
      </c>
      <c r="R37" s="45">
        <f t="shared" si="26"/>
        <v>30188824474</v>
      </c>
      <c r="S37" s="45">
        <f t="shared" si="32"/>
        <v>17944.539625923397</v>
      </c>
      <c r="T37" s="45">
        <v>71001.5</v>
      </c>
      <c r="U37" s="45">
        <v>15289070763</v>
      </c>
      <c r="V37" s="45">
        <f t="shared" si="33"/>
        <v>15584.261868416952</v>
      </c>
      <c r="W37" s="45">
        <v>79673.08</v>
      </c>
      <c r="X37" s="46">
        <v>14899753711</v>
      </c>
      <c r="Y37" s="178"/>
      <c r="Z37" s="163"/>
      <c r="AA37" s="44" t="s">
        <v>118</v>
      </c>
      <c r="AB37" s="45">
        <f t="shared" si="11"/>
        <v>78890.380154639177</v>
      </c>
      <c r="AC37" s="45">
        <f t="shared" si="27"/>
        <v>3104</v>
      </c>
      <c r="AD37" s="45">
        <f t="shared" si="28"/>
        <v>244875740</v>
      </c>
      <c r="AE37" s="45">
        <f t="shared" si="12"/>
        <v>94315.494013862641</v>
      </c>
      <c r="AF37" s="45">
        <v>1587</v>
      </c>
      <c r="AG37" s="45">
        <v>149678689</v>
      </c>
      <c r="AH37" s="45">
        <f t="shared" si="13"/>
        <v>62753.494396835864</v>
      </c>
      <c r="AI37" s="45">
        <v>1517</v>
      </c>
      <c r="AJ37" s="46">
        <v>95197051</v>
      </c>
      <c r="AK37" s="178"/>
      <c r="AL37" s="163"/>
      <c r="AM37" s="44" t="s">
        <v>118</v>
      </c>
      <c r="AN37" s="45">
        <f t="shared" si="14"/>
        <v>773745.94560669456</v>
      </c>
      <c r="AO37" s="45">
        <f t="shared" si="29"/>
        <v>956</v>
      </c>
      <c r="AP37" s="45">
        <f t="shared" si="30"/>
        <v>739701124</v>
      </c>
      <c r="AQ37" s="45">
        <f t="shared" si="15"/>
        <v>806071.1726495726</v>
      </c>
      <c r="AR37" s="45">
        <v>585</v>
      </c>
      <c r="AS37" s="45">
        <v>471551636</v>
      </c>
      <c r="AT37" s="45">
        <f t="shared" si="16"/>
        <v>722774.90026954177</v>
      </c>
      <c r="AU37" s="45">
        <v>371</v>
      </c>
      <c r="AV37" s="46">
        <v>268149488</v>
      </c>
    </row>
    <row r="38" spans="1:48" ht="28.9" customHeight="1" thickBot="1">
      <c r="A38" s="179"/>
      <c r="B38" s="164"/>
      <c r="C38" s="47" t="s">
        <v>100</v>
      </c>
      <c r="D38" s="48">
        <f t="shared" si="5"/>
        <v>563693.81283422455</v>
      </c>
      <c r="E38" s="48">
        <f t="shared" si="24"/>
        <v>187</v>
      </c>
      <c r="F38" s="48">
        <f t="shared" si="25"/>
        <v>105410743</v>
      </c>
      <c r="G38" s="48">
        <f t="shared" si="6"/>
        <v>609142.33018867928</v>
      </c>
      <c r="H38" s="48">
        <f>80+15+6+5</f>
        <v>106</v>
      </c>
      <c r="I38" s="48">
        <f>51222836+8035122+3695202+1615927</f>
        <v>64569087</v>
      </c>
      <c r="J38" s="48">
        <f t="shared" si="7"/>
        <v>504217.97530864197</v>
      </c>
      <c r="K38" s="48">
        <f>49+15+11+5+1</f>
        <v>81</v>
      </c>
      <c r="L38" s="49">
        <f>28658088+7233485+3096627+1089954+763502</f>
        <v>40841656</v>
      </c>
      <c r="M38" s="179"/>
      <c r="N38" s="164"/>
      <c r="O38" s="47" t="s">
        <v>100</v>
      </c>
      <c r="P38" s="48">
        <f t="shared" si="31"/>
        <v>12516.166567237773</v>
      </c>
      <c r="Q38" s="48">
        <v>39425.160000000003</v>
      </c>
      <c r="R38" s="48">
        <f t="shared" si="26"/>
        <v>5921422434</v>
      </c>
      <c r="S38" s="48">
        <f t="shared" si="32"/>
        <v>13429.442132784592</v>
      </c>
      <c r="T38" s="48">
        <v>18709.5</v>
      </c>
      <c r="U38" s="48">
        <f>2312603042+446133103+192755880+52411324+11194422</f>
        <v>3015097771</v>
      </c>
      <c r="V38" s="48">
        <f t="shared" si="33"/>
        <v>11691.335053610004</v>
      </c>
      <c r="W38" s="48">
        <v>20715.660000000003</v>
      </c>
      <c r="X38" s="49">
        <f>2036474237+546062764+251303496+64827797+7656369</f>
        <v>2906324663</v>
      </c>
      <c r="Y38" s="179"/>
      <c r="Z38" s="164"/>
      <c r="AA38" s="47" t="s">
        <v>100</v>
      </c>
      <c r="AB38" s="48">
        <f t="shared" si="11"/>
        <v>42971.598470363286</v>
      </c>
      <c r="AC38" s="48">
        <f t="shared" si="27"/>
        <v>1046</v>
      </c>
      <c r="AD38" s="48">
        <f t="shared" si="28"/>
        <v>44948292</v>
      </c>
      <c r="AE38" s="48">
        <f t="shared" si="12"/>
        <v>50207.592936802976</v>
      </c>
      <c r="AF38" s="48">
        <f>312+122+62+35+7</f>
        <v>538</v>
      </c>
      <c r="AG38" s="48">
        <f>19510424+4949761+1949818+547019+54663</f>
        <v>27011685</v>
      </c>
      <c r="AH38" s="48">
        <f t="shared" si="13"/>
        <v>35308.281496062991</v>
      </c>
      <c r="AI38" s="48">
        <f>260+136+75+31+6</f>
        <v>508</v>
      </c>
      <c r="AJ38" s="49">
        <f>9919218+4968309+2529639+379213+140228</f>
        <v>17936607</v>
      </c>
      <c r="AK38" s="179"/>
      <c r="AL38" s="164"/>
      <c r="AM38" s="47" t="s">
        <v>100</v>
      </c>
      <c r="AN38" s="48">
        <f t="shared" si="14"/>
        <v>246769.86296296297</v>
      </c>
      <c r="AO38" s="48">
        <f t="shared" si="29"/>
        <v>270</v>
      </c>
      <c r="AP38" s="48">
        <f t="shared" si="30"/>
        <v>66627863</v>
      </c>
      <c r="AQ38" s="48">
        <f t="shared" si="15"/>
        <v>261070.25316455695</v>
      </c>
      <c r="AR38" s="48">
        <f>123+20+14+1</f>
        <v>158</v>
      </c>
      <c r="AS38" s="48">
        <f>35014373+3999482+2171622+63623</f>
        <v>41249100</v>
      </c>
      <c r="AT38" s="48">
        <f t="shared" si="16"/>
        <v>226596.09821428571</v>
      </c>
      <c r="AU38" s="48">
        <f>75+27+7+3</f>
        <v>112</v>
      </c>
      <c r="AV38" s="49">
        <f>19889890+4162606+940327+385940</f>
        <v>25378763</v>
      </c>
    </row>
    <row r="39" spans="1:48" s="4" customFormat="1" ht="175.15" customHeight="1">
      <c r="A39" s="133" t="s">
        <v>131</v>
      </c>
      <c r="B39" s="133"/>
      <c r="C39" s="133"/>
      <c r="D39" s="133"/>
      <c r="E39" s="133"/>
      <c r="F39" s="133"/>
      <c r="G39" s="133"/>
      <c r="H39" s="133"/>
      <c r="I39" s="133"/>
      <c r="J39" s="133"/>
      <c r="K39" s="133"/>
      <c r="L39" s="133"/>
      <c r="M39" s="133" t="s">
        <v>162</v>
      </c>
      <c r="N39" s="133"/>
      <c r="O39" s="133"/>
      <c r="P39" s="133"/>
      <c r="Q39" s="133"/>
      <c r="R39" s="133"/>
      <c r="S39" s="133"/>
      <c r="T39" s="133"/>
      <c r="U39" s="133"/>
      <c r="V39" s="133"/>
      <c r="W39" s="133"/>
      <c r="X39" s="133"/>
      <c r="Y39" s="133" t="s">
        <v>132</v>
      </c>
      <c r="Z39" s="133"/>
      <c r="AA39" s="133"/>
      <c r="AB39" s="133"/>
      <c r="AC39" s="133"/>
      <c r="AD39" s="133"/>
      <c r="AE39" s="133"/>
      <c r="AF39" s="133"/>
      <c r="AG39" s="133"/>
      <c r="AH39" s="133"/>
      <c r="AI39" s="133"/>
      <c r="AJ39" s="133"/>
      <c r="AK39" s="133" t="s">
        <v>126</v>
      </c>
      <c r="AL39" s="133"/>
      <c r="AM39" s="133"/>
      <c r="AN39" s="133"/>
      <c r="AO39" s="133"/>
      <c r="AP39" s="133"/>
      <c r="AQ39" s="133"/>
      <c r="AR39" s="133"/>
      <c r="AS39" s="133"/>
      <c r="AT39" s="133"/>
      <c r="AU39" s="133"/>
      <c r="AV39" s="133"/>
    </row>
  </sheetData>
  <mergeCells count="48">
    <mergeCell ref="Y1:AJ1"/>
    <mergeCell ref="AK1:AV1"/>
    <mergeCell ref="D3:L3"/>
    <mergeCell ref="A3:A5"/>
    <mergeCell ref="D4:F4"/>
    <mergeCell ref="G4:I4"/>
    <mergeCell ref="J4:L4"/>
    <mergeCell ref="B3:C5"/>
    <mergeCell ref="Y3:Y5"/>
    <mergeCell ref="M1:X1"/>
    <mergeCell ref="A1:L1"/>
    <mergeCell ref="M3:M5"/>
    <mergeCell ref="N3:O5"/>
    <mergeCell ref="AE4:AG4"/>
    <mergeCell ref="AH4:AJ4"/>
    <mergeCell ref="AN3:AV3"/>
    <mergeCell ref="A39:L39"/>
    <mergeCell ref="Y6:Y28"/>
    <mergeCell ref="Z6:Z28"/>
    <mergeCell ref="Y29:Y38"/>
    <mergeCell ref="Z29:Z38"/>
    <mergeCell ref="M39:X39"/>
    <mergeCell ref="A6:A28"/>
    <mergeCell ref="B29:B38"/>
    <mergeCell ref="A29:A38"/>
    <mergeCell ref="M29:M38"/>
    <mergeCell ref="N29:N38"/>
    <mergeCell ref="M6:M28"/>
    <mergeCell ref="N6:N28"/>
    <mergeCell ref="B6:B28"/>
    <mergeCell ref="AK39:AV39"/>
    <mergeCell ref="Y39:AJ39"/>
    <mergeCell ref="AK6:AK28"/>
    <mergeCell ref="AL6:AL28"/>
    <mergeCell ref="AK29:AK38"/>
    <mergeCell ref="AL29:AL38"/>
    <mergeCell ref="AN4:AP4"/>
    <mergeCell ref="AQ4:AS4"/>
    <mergeCell ref="AT4:AV4"/>
    <mergeCell ref="AK3:AK5"/>
    <mergeCell ref="AL3:AM5"/>
    <mergeCell ref="AB3:AJ3"/>
    <mergeCell ref="P3:X3"/>
    <mergeCell ref="P4:R4"/>
    <mergeCell ref="S4:U4"/>
    <mergeCell ref="V4:X4"/>
    <mergeCell ref="AB4:AD4"/>
    <mergeCell ref="Z3:AA5"/>
  </mergeCells>
  <phoneticPr fontId="14" type="noConversion"/>
  <printOptions horizontalCentered="1"/>
  <pageMargins left="0.15748031496062992" right="0.15748031496062992" top="0.59055118110236227" bottom="0.59055118110236227" header="0.51181102362204722" footer="0.31496062992125984"/>
  <pageSetup paperSize="9" orientation="portrait" r:id="rId1"/>
  <headerFooter alignWithMargins="0"/>
  <rowBreaks count="1" manualBreakCount="1">
    <brk id="28" max="16383" man="1"/>
  </rowBreaks>
  <colBreaks count="3" manualBreakCount="3">
    <brk id="24" max="1048575" man="1"/>
    <brk id="36" max="1048575" man="1"/>
    <brk id="12" max="1048575" man="1"/>
  </col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AV39"/>
  <sheetViews>
    <sheetView view="pageBreakPreview" zoomScale="80" zoomScaleNormal="90" zoomScaleSheetLayoutView="80" workbookViewId="0">
      <selection activeCell="A2" sqref="A2"/>
    </sheetView>
  </sheetViews>
  <sheetFormatPr defaultColWidth="9" defaultRowHeight="16.5"/>
  <cols>
    <col min="1" max="1" width="5.625" style="54" customWidth="1"/>
    <col min="2" max="2" width="3.5" style="54" customWidth="1"/>
    <col min="3" max="3" width="9.5" style="55" customWidth="1"/>
    <col min="4" max="4" width="8.25" style="53" customWidth="1"/>
    <col min="5" max="5" width="6.375" style="53" customWidth="1"/>
    <col min="6" max="6" width="12.75" style="53" customWidth="1"/>
    <col min="7" max="7" width="8.25" style="53" customWidth="1"/>
    <col min="8" max="8" width="6.25" style="53" customWidth="1"/>
    <col min="9" max="9" width="12" style="53" customWidth="1"/>
    <col min="10" max="10" width="8.25" style="53" customWidth="1"/>
    <col min="11" max="11" width="6.25" style="53" customWidth="1"/>
    <col min="12" max="12" width="12" style="53" customWidth="1"/>
    <col min="13" max="13" width="5.625" style="53" customWidth="1"/>
    <col min="14" max="14" width="3.5" style="53" customWidth="1"/>
    <col min="15" max="15" width="9.375" style="56" customWidth="1"/>
    <col min="16" max="16" width="6.75" style="53" customWidth="1"/>
    <col min="17" max="17" width="7.375" style="53" customWidth="1"/>
    <col min="18" max="18" width="12.5" style="53" customWidth="1"/>
    <col min="19" max="19" width="6.75" style="53" customWidth="1"/>
    <col min="20" max="20" width="7.375" style="53" customWidth="1"/>
    <col min="21" max="21" width="12.5" style="53" customWidth="1"/>
    <col min="22" max="22" width="6.75" style="53" customWidth="1"/>
    <col min="23" max="23" width="7.375" style="53" customWidth="1"/>
    <col min="24" max="24" width="12.5" style="53" customWidth="1"/>
    <col min="25" max="25" width="6.625" style="53" customWidth="1"/>
    <col min="26" max="26" width="4.625" style="53" customWidth="1"/>
    <col min="27" max="27" width="9.375" style="56" customWidth="1"/>
    <col min="28" max="28" width="7.5" style="53" customWidth="1"/>
    <col min="29" max="29" width="7.25" style="53" customWidth="1"/>
    <col min="30" max="30" width="10.75" style="53" customWidth="1"/>
    <col min="31" max="31" width="7.5" style="53" customWidth="1"/>
    <col min="32" max="32" width="7.25" style="53" customWidth="1"/>
    <col min="33" max="33" width="10.75" style="53" customWidth="1"/>
    <col min="34" max="34" width="7.5" style="53" customWidth="1"/>
    <col min="35" max="35" width="7.25" style="53" customWidth="1"/>
    <col min="36" max="36" width="10.75" style="53" customWidth="1"/>
    <col min="37" max="37" width="6.625" style="53" customWidth="1"/>
    <col min="38" max="38" width="4.625" style="53" customWidth="1"/>
    <col min="39" max="39" width="9.375" style="56" customWidth="1"/>
    <col min="40" max="40" width="8.5" style="53" customWidth="1"/>
    <col min="41" max="41" width="6.75" style="53" customWidth="1"/>
    <col min="42" max="42" width="10.75" style="53" customWidth="1"/>
    <col min="43" max="43" width="8.5" style="53" customWidth="1"/>
    <col min="44" max="44" width="6.75" style="53" customWidth="1"/>
    <col min="45" max="45" width="10.75" style="53" customWidth="1"/>
    <col min="46" max="46" width="8.5" style="53" customWidth="1"/>
    <col min="47" max="47" width="6.75" style="53" customWidth="1"/>
    <col min="48" max="48" width="10.75" style="53" customWidth="1"/>
    <col min="49" max="49" width="9" style="53" customWidth="1"/>
    <col min="50" max="16384" width="9" style="53"/>
  </cols>
  <sheetData>
    <row r="1" spans="1:48" ht="24" customHeight="1">
      <c r="A1" s="112" t="s">
        <v>121</v>
      </c>
      <c r="B1" s="113"/>
      <c r="C1" s="113"/>
      <c r="D1" s="113"/>
      <c r="E1" s="113"/>
      <c r="F1" s="113"/>
      <c r="G1" s="113"/>
      <c r="H1" s="113"/>
      <c r="I1" s="113"/>
      <c r="J1" s="113"/>
      <c r="K1" s="113"/>
      <c r="L1" s="113"/>
      <c r="M1" s="112" t="s">
        <v>119</v>
      </c>
      <c r="N1" s="113"/>
      <c r="O1" s="113"/>
      <c r="P1" s="113"/>
      <c r="Q1" s="113"/>
      <c r="R1" s="113"/>
      <c r="S1" s="113"/>
      <c r="T1" s="113"/>
      <c r="U1" s="113"/>
      <c r="V1" s="113"/>
      <c r="W1" s="113"/>
      <c r="X1" s="113"/>
      <c r="Y1" s="112" t="s">
        <v>123</v>
      </c>
      <c r="Z1" s="113"/>
      <c r="AA1" s="113"/>
      <c r="AB1" s="113"/>
      <c r="AC1" s="113"/>
      <c r="AD1" s="113"/>
      <c r="AE1" s="113"/>
      <c r="AF1" s="113"/>
      <c r="AG1" s="113"/>
      <c r="AH1" s="113"/>
      <c r="AI1" s="113"/>
      <c r="AJ1" s="113"/>
      <c r="AK1" s="112" t="s">
        <v>122</v>
      </c>
      <c r="AL1" s="113"/>
      <c r="AM1" s="113"/>
      <c r="AN1" s="113"/>
      <c r="AO1" s="113"/>
      <c r="AP1" s="113"/>
      <c r="AQ1" s="113"/>
      <c r="AR1" s="113"/>
      <c r="AS1" s="113"/>
      <c r="AT1" s="113"/>
      <c r="AU1" s="113"/>
      <c r="AV1" s="113"/>
    </row>
    <row r="2" spans="1:48" ht="18" customHeight="1" thickBot="1"/>
    <row r="3" spans="1:48" s="59" customFormat="1" ht="27" customHeight="1">
      <c r="A3" s="100" t="s">
        <v>62</v>
      </c>
      <c r="B3" s="106" t="s">
        <v>52</v>
      </c>
      <c r="C3" s="107"/>
      <c r="D3" s="102" t="s">
        <v>54</v>
      </c>
      <c r="E3" s="102"/>
      <c r="F3" s="103"/>
      <c r="G3" s="103"/>
      <c r="H3" s="103"/>
      <c r="I3" s="103"/>
      <c r="J3" s="103"/>
      <c r="K3" s="104"/>
      <c r="L3" s="105"/>
      <c r="M3" s="100" t="s">
        <v>62</v>
      </c>
      <c r="N3" s="106" t="s">
        <v>52</v>
      </c>
      <c r="O3" s="107"/>
      <c r="P3" s="102" t="str">
        <f>D3</f>
        <v>102年</v>
      </c>
      <c r="Q3" s="102"/>
      <c r="R3" s="103"/>
      <c r="S3" s="103"/>
      <c r="T3" s="103"/>
      <c r="U3" s="103"/>
      <c r="V3" s="103"/>
      <c r="W3" s="104"/>
      <c r="X3" s="105"/>
      <c r="Y3" s="100" t="s">
        <v>62</v>
      </c>
      <c r="Z3" s="106" t="s">
        <v>52</v>
      </c>
      <c r="AA3" s="107"/>
      <c r="AB3" s="102" t="str">
        <f>D3</f>
        <v>102年</v>
      </c>
      <c r="AC3" s="102"/>
      <c r="AD3" s="103"/>
      <c r="AE3" s="103"/>
      <c r="AF3" s="103"/>
      <c r="AG3" s="103"/>
      <c r="AH3" s="103"/>
      <c r="AI3" s="104"/>
      <c r="AJ3" s="105"/>
      <c r="AK3" s="100" t="s">
        <v>62</v>
      </c>
      <c r="AL3" s="106" t="s">
        <v>52</v>
      </c>
      <c r="AM3" s="107"/>
      <c r="AN3" s="102" t="str">
        <f>D3</f>
        <v>102年</v>
      </c>
      <c r="AO3" s="102"/>
      <c r="AP3" s="103"/>
      <c r="AQ3" s="103"/>
      <c r="AR3" s="103"/>
      <c r="AS3" s="103"/>
      <c r="AT3" s="103"/>
      <c r="AU3" s="104"/>
      <c r="AV3" s="105"/>
    </row>
    <row r="4" spans="1:48" s="59" customFormat="1" ht="27" customHeight="1">
      <c r="A4" s="101"/>
      <c r="B4" s="108"/>
      <c r="C4" s="109"/>
      <c r="D4" s="99" t="s">
        <v>12</v>
      </c>
      <c r="E4" s="99"/>
      <c r="F4" s="99"/>
      <c r="G4" s="99" t="s">
        <v>13</v>
      </c>
      <c r="H4" s="99"/>
      <c r="I4" s="99"/>
      <c r="J4" s="99" t="s">
        <v>14</v>
      </c>
      <c r="K4" s="114"/>
      <c r="L4" s="115"/>
      <c r="M4" s="101"/>
      <c r="N4" s="108"/>
      <c r="O4" s="109"/>
      <c r="P4" s="99" t="s">
        <v>12</v>
      </c>
      <c r="Q4" s="99"/>
      <c r="R4" s="99"/>
      <c r="S4" s="99" t="s">
        <v>13</v>
      </c>
      <c r="T4" s="99"/>
      <c r="U4" s="99"/>
      <c r="V4" s="99" t="s">
        <v>14</v>
      </c>
      <c r="W4" s="114"/>
      <c r="X4" s="115"/>
      <c r="Y4" s="101"/>
      <c r="Z4" s="108"/>
      <c r="AA4" s="109"/>
      <c r="AB4" s="99" t="s">
        <v>12</v>
      </c>
      <c r="AC4" s="99"/>
      <c r="AD4" s="99"/>
      <c r="AE4" s="99" t="s">
        <v>13</v>
      </c>
      <c r="AF4" s="99"/>
      <c r="AG4" s="99"/>
      <c r="AH4" s="99" t="s">
        <v>14</v>
      </c>
      <c r="AI4" s="114"/>
      <c r="AJ4" s="115"/>
      <c r="AK4" s="101"/>
      <c r="AL4" s="108"/>
      <c r="AM4" s="109"/>
      <c r="AN4" s="99" t="s">
        <v>12</v>
      </c>
      <c r="AO4" s="99"/>
      <c r="AP4" s="99"/>
      <c r="AQ4" s="99" t="s">
        <v>13</v>
      </c>
      <c r="AR4" s="99"/>
      <c r="AS4" s="99"/>
      <c r="AT4" s="99" t="s">
        <v>14</v>
      </c>
      <c r="AU4" s="114"/>
      <c r="AV4" s="115"/>
    </row>
    <row r="5" spans="1:48" ht="49.5">
      <c r="A5" s="101"/>
      <c r="B5" s="110"/>
      <c r="C5" s="111"/>
      <c r="D5" s="60" t="s">
        <v>124</v>
      </c>
      <c r="E5" s="61" t="s">
        <v>15</v>
      </c>
      <c r="F5" s="61" t="s">
        <v>16</v>
      </c>
      <c r="G5" s="60" t="s">
        <v>124</v>
      </c>
      <c r="H5" s="61" t="s">
        <v>15</v>
      </c>
      <c r="I5" s="61" t="s">
        <v>16</v>
      </c>
      <c r="J5" s="60" t="s">
        <v>124</v>
      </c>
      <c r="K5" s="61" t="s">
        <v>15</v>
      </c>
      <c r="L5" s="62" t="s">
        <v>16</v>
      </c>
      <c r="M5" s="101"/>
      <c r="N5" s="110"/>
      <c r="O5" s="111"/>
      <c r="P5" s="60" t="s">
        <v>167</v>
      </c>
      <c r="Q5" s="82" t="s">
        <v>158</v>
      </c>
      <c r="R5" s="61" t="s">
        <v>16</v>
      </c>
      <c r="S5" s="60" t="s">
        <v>166</v>
      </c>
      <c r="T5" s="82" t="s">
        <v>158</v>
      </c>
      <c r="U5" s="61" t="s">
        <v>16</v>
      </c>
      <c r="V5" s="60" t="s">
        <v>167</v>
      </c>
      <c r="W5" s="82" t="s">
        <v>158</v>
      </c>
      <c r="X5" s="62" t="s">
        <v>16</v>
      </c>
      <c r="Y5" s="101"/>
      <c r="Z5" s="110"/>
      <c r="AA5" s="111"/>
      <c r="AB5" s="60" t="s">
        <v>124</v>
      </c>
      <c r="AC5" s="61" t="s">
        <v>15</v>
      </c>
      <c r="AD5" s="61" t="s">
        <v>16</v>
      </c>
      <c r="AE5" s="60" t="s">
        <v>124</v>
      </c>
      <c r="AF5" s="61" t="s">
        <v>15</v>
      </c>
      <c r="AG5" s="61" t="s">
        <v>16</v>
      </c>
      <c r="AH5" s="60" t="s">
        <v>124</v>
      </c>
      <c r="AI5" s="61" t="s">
        <v>15</v>
      </c>
      <c r="AJ5" s="62" t="s">
        <v>16</v>
      </c>
      <c r="AK5" s="101"/>
      <c r="AL5" s="110"/>
      <c r="AM5" s="111"/>
      <c r="AN5" s="60" t="s">
        <v>124</v>
      </c>
      <c r="AO5" s="61" t="s">
        <v>15</v>
      </c>
      <c r="AP5" s="61" t="s">
        <v>16</v>
      </c>
      <c r="AQ5" s="60" t="s">
        <v>124</v>
      </c>
      <c r="AR5" s="61" t="s">
        <v>15</v>
      </c>
      <c r="AS5" s="61" t="s">
        <v>16</v>
      </c>
      <c r="AT5" s="60" t="s">
        <v>124</v>
      </c>
      <c r="AU5" s="61" t="s">
        <v>15</v>
      </c>
      <c r="AV5" s="62" t="s">
        <v>16</v>
      </c>
    </row>
    <row r="6" spans="1:48" ht="24" customHeight="1">
      <c r="A6" s="170" t="s">
        <v>145</v>
      </c>
      <c r="B6" s="120" t="s">
        <v>17</v>
      </c>
      <c r="C6" s="63" t="s">
        <v>76</v>
      </c>
      <c r="D6" s="64">
        <f>F6/E6</f>
        <v>1250688.6716163622</v>
      </c>
      <c r="E6" s="64">
        <f>SUM(E7:E28)</f>
        <v>123846</v>
      </c>
      <c r="F6" s="64">
        <f>SUM(F7:F28)</f>
        <v>154892789225</v>
      </c>
      <c r="G6" s="64">
        <f>I6/H6</f>
        <v>1265982.1814615948</v>
      </c>
      <c r="H6" s="64">
        <f t="shared" ref="H6:L6" si="0">SUM(H7:H28)</f>
        <v>57362</v>
      </c>
      <c r="I6" s="64">
        <f t="shared" si="0"/>
        <v>72619269893</v>
      </c>
      <c r="J6" s="64">
        <f>L6/K6</f>
        <v>1237493.5222309127</v>
      </c>
      <c r="K6" s="64">
        <f t="shared" ref="K6" si="1">SUM(K7:K28)</f>
        <v>66484</v>
      </c>
      <c r="L6" s="65">
        <f t="shared" si="0"/>
        <v>82273519332</v>
      </c>
      <c r="M6" s="170" t="s">
        <v>146</v>
      </c>
      <c r="N6" s="120" t="s">
        <v>17</v>
      </c>
      <c r="O6" s="63" t="s">
        <v>76</v>
      </c>
      <c r="P6" s="64">
        <f>R6/Q6/12</f>
        <v>15215.146545137992</v>
      </c>
      <c r="Q6" s="64">
        <v>439497.92</v>
      </c>
      <c r="R6" s="64">
        <f>U6+X6</f>
        <v>80244303109</v>
      </c>
      <c r="S6" s="64">
        <f>U6/T6/12</f>
        <v>16191.139304696755</v>
      </c>
      <c r="T6" s="64">
        <v>200780.5</v>
      </c>
      <c r="U6" s="64">
        <f>SUM(U7:U28)+(50256)</f>
        <v>39010380542</v>
      </c>
      <c r="V6" s="64">
        <f>X6/W6/12</f>
        <v>14394.258340747258</v>
      </c>
      <c r="W6" s="64">
        <v>238717.42</v>
      </c>
      <c r="X6" s="65">
        <f>SUM(X7:X28)+(0)</f>
        <v>41233922567</v>
      </c>
      <c r="Y6" s="170" t="s">
        <v>150</v>
      </c>
      <c r="Z6" s="120" t="s">
        <v>17</v>
      </c>
      <c r="AA6" s="63" t="s">
        <v>76</v>
      </c>
      <c r="AB6" s="64">
        <f>AD6/AC6</f>
        <v>111874.53570296821</v>
      </c>
      <c r="AC6" s="64">
        <f>AF6+AI6</f>
        <v>18934</v>
      </c>
      <c r="AD6" s="64">
        <f>AG6+AJ6</f>
        <v>2118232459</v>
      </c>
      <c r="AE6" s="64">
        <f>AG6/AF6</f>
        <v>135289.19258335931</v>
      </c>
      <c r="AF6" s="64">
        <f>SUM(AF7:AF28)+(0)</f>
        <v>9627</v>
      </c>
      <c r="AG6" s="64">
        <f>SUM(AG7:AG28)+(0)</f>
        <v>1302429057</v>
      </c>
      <c r="AH6" s="64">
        <f>AJ6/AI6</f>
        <v>87654.819168367889</v>
      </c>
      <c r="AI6" s="64">
        <f>SUM(AI7:AI28)+(4)</f>
        <v>9307</v>
      </c>
      <c r="AJ6" s="65">
        <f>SUM(AJ7:AJ28)+(3147)</f>
        <v>815803402</v>
      </c>
      <c r="AK6" s="170" t="s">
        <v>152</v>
      </c>
      <c r="AL6" s="120" t="s">
        <v>17</v>
      </c>
      <c r="AM6" s="63" t="s">
        <v>76</v>
      </c>
      <c r="AN6" s="64">
        <f>AP6/AO6</f>
        <v>922574.80335140461</v>
      </c>
      <c r="AO6" s="64">
        <f>SUM(AO7:AO28)</f>
        <v>2029</v>
      </c>
      <c r="AP6" s="64">
        <f>SUM(AP7:AP28)</f>
        <v>1871904276</v>
      </c>
      <c r="AQ6" s="64">
        <f>AS6/AR6</f>
        <v>967437.52439024393</v>
      </c>
      <c r="AR6" s="64">
        <f t="shared" ref="AR6:AS6" si="2">SUM(AR7:AR28)</f>
        <v>1230</v>
      </c>
      <c r="AS6" s="64">
        <f t="shared" si="2"/>
        <v>1189948155</v>
      </c>
      <c r="AT6" s="64">
        <f>AV6/AU6</f>
        <v>853512.04130162706</v>
      </c>
      <c r="AU6" s="64">
        <f t="shared" ref="AU6:AV6" si="3">SUM(AU7:AU28)</f>
        <v>799</v>
      </c>
      <c r="AV6" s="65">
        <f t="shared" si="3"/>
        <v>681956121</v>
      </c>
    </row>
    <row r="7" spans="1:48" ht="24" customHeight="1">
      <c r="A7" s="171"/>
      <c r="B7" s="121"/>
      <c r="C7" s="63" t="s">
        <v>95</v>
      </c>
      <c r="D7" s="64">
        <f t="shared" ref="D7:D38" si="4">F7/E7</f>
        <v>1300652.9445745901</v>
      </c>
      <c r="E7" s="64">
        <f>H7+K7</f>
        <v>20063</v>
      </c>
      <c r="F7" s="64">
        <f>I7+L7</f>
        <v>26095000027</v>
      </c>
      <c r="G7" s="64">
        <f t="shared" ref="G7:G38" si="5">I7/H7</f>
        <v>1323257.9597806216</v>
      </c>
      <c r="H7" s="64">
        <v>9299</v>
      </c>
      <c r="I7" s="64">
        <v>12304975768</v>
      </c>
      <c r="J7" s="64">
        <f t="shared" ref="J7:J38" si="6">L7/K7</f>
        <v>1281124.5130992197</v>
      </c>
      <c r="K7" s="64">
        <v>10764</v>
      </c>
      <c r="L7" s="65">
        <v>13790024259</v>
      </c>
      <c r="M7" s="171"/>
      <c r="N7" s="121"/>
      <c r="O7" s="63" t="s">
        <v>95</v>
      </c>
      <c r="P7" s="64">
        <f t="shared" ref="P7:P28" si="7">R7/Q7/12</f>
        <v>15481.566352162472</v>
      </c>
      <c r="Q7" s="64">
        <v>60967.92</v>
      </c>
      <c r="R7" s="64">
        <f>U7+X7</f>
        <v>11326546786</v>
      </c>
      <c r="S7" s="64">
        <f t="shared" ref="S7:S28" si="8">U7/T7/12</f>
        <v>16305.243119665938</v>
      </c>
      <c r="T7" s="64">
        <v>27989.919999999998</v>
      </c>
      <c r="U7" s="64">
        <v>5476589406</v>
      </c>
      <c r="V7" s="64">
        <f t="shared" ref="V7:V28" si="9">X7/W7/12</f>
        <v>14782.474629551014</v>
      </c>
      <c r="W7" s="64">
        <v>32978</v>
      </c>
      <c r="X7" s="65">
        <v>5849957380</v>
      </c>
      <c r="Y7" s="171"/>
      <c r="Z7" s="121"/>
      <c r="AA7" s="63" t="s">
        <v>95</v>
      </c>
      <c r="AB7" s="64">
        <f t="shared" ref="AB7:AB38" si="10">AD7/AC7</f>
        <v>115304.63210702341</v>
      </c>
      <c r="AC7" s="64">
        <f>AF7+AI7</f>
        <v>2691</v>
      </c>
      <c r="AD7" s="64">
        <f>AG7+AJ7</f>
        <v>310284765</v>
      </c>
      <c r="AE7" s="64">
        <f t="shared" ref="AE7:AE38" si="11">AG7/AF7</f>
        <v>141686.95454545456</v>
      </c>
      <c r="AF7" s="64">
        <v>1342</v>
      </c>
      <c r="AG7" s="64">
        <v>190143893</v>
      </c>
      <c r="AH7" s="64">
        <f t="shared" ref="AH7:AH38" si="12">AJ7/AI7</f>
        <v>89059.208302446263</v>
      </c>
      <c r="AI7" s="64">
        <v>1349</v>
      </c>
      <c r="AJ7" s="65">
        <v>120140872</v>
      </c>
      <c r="AK7" s="171"/>
      <c r="AL7" s="121"/>
      <c r="AM7" s="63" t="s">
        <v>95</v>
      </c>
      <c r="AN7" s="64">
        <f t="shared" ref="AN7:AN38" si="13">AP7/AO7</f>
        <v>998293.8898305085</v>
      </c>
      <c r="AO7" s="64">
        <f>AR7+AU7</f>
        <v>236</v>
      </c>
      <c r="AP7" s="64">
        <f>AS7+AV7</f>
        <v>235597358</v>
      </c>
      <c r="AQ7" s="64">
        <f t="shared" ref="AQ7:AQ38" si="14">AS7/AR7</f>
        <v>1027482.3112582781</v>
      </c>
      <c r="AR7" s="64">
        <v>151</v>
      </c>
      <c r="AS7" s="64">
        <v>155149829</v>
      </c>
      <c r="AT7" s="64">
        <f t="shared" ref="AT7:AT38" si="15">AV7/AU7</f>
        <v>946441.51764705882</v>
      </c>
      <c r="AU7" s="64">
        <v>85</v>
      </c>
      <c r="AV7" s="65">
        <v>80447529</v>
      </c>
    </row>
    <row r="8" spans="1:48" ht="24" customHeight="1">
      <c r="A8" s="171"/>
      <c r="B8" s="121"/>
      <c r="C8" s="63" t="s">
        <v>96</v>
      </c>
      <c r="D8" s="64">
        <f t="shared" si="4"/>
        <v>1256294.5920059022</v>
      </c>
      <c r="E8" s="64">
        <f t="shared" ref="E8:F28" si="16">H8+K8</f>
        <v>23042</v>
      </c>
      <c r="F8" s="64">
        <f t="shared" si="16"/>
        <v>28947539989</v>
      </c>
      <c r="G8" s="64">
        <f t="shared" si="5"/>
        <v>1258865.7718903036</v>
      </c>
      <c r="H8" s="64">
        <v>10210</v>
      </c>
      <c r="I8" s="64">
        <v>12853019531</v>
      </c>
      <c r="J8" s="64">
        <f t="shared" si="6"/>
        <v>1254248.7888092268</v>
      </c>
      <c r="K8" s="64">
        <v>12832</v>
      </c>
      <c r="L8" s="65">
        <v>16094520458</v>
      </c>
      <c r="M8" s="171"/>
      <c r="N8" s="121"/>
      <c r="O8" s="63" t="s">
        <v>96</v>
      </c>
      <c r="P8" s="64">
        <f t="shared" si="7"/>
        <v>15456.31009552891</v>
      </c>
      <c r="Q8" s="64">
        <v>90714.25</v>
      </c>
      <c r="R8" s="64">
        <f t="shared" ref="R8:R28" si="17">U8+X8</f>
        <v>16825290937</v>
      </c>
      <c r="S8" s="64">
        <f t="shared" si="8"/>
        <v>16386.862706991495</v>
      </c>
      <c r="T8" s="64">
        <v>43273.919999999998</v>
      </c>
      <c r="U8" s="64">
        <v>8509485430</v>
      </c>
      <c r="V8" s="64">
        <f t="shared" si="9"/>
        <v>14607.482541752977</v>
      </c>
      <c r="W8" s="64">
        <v>47440.33</v>
      </c>
      <c r="X8" s="65">
        <v>8315805507</v>
      </c>
      <c r="Y8" s="171"/>
      <c r="Z8" s="121"/>
      <c r="AA8" s="63" t="s">
        <v>96</v>
      </c>
      <c r="AB8" s="64">
        <f t="shared" si="10"/>
        <v>114239.33142965924</v>
      </c>
      <c r="AC8" s="64">
        <f t="shared" ref="AC8:AD28" si="18">AF8+AI8</f>
        <v>5253</v>
      </c>
      <c r="AD8" s="64">
        <f t="shared" si="18"/>
        <v>600099208</v>
      </c>
      <c r="AE8" s="64">
        <f t="shared" si="11"/>
        <v>134741.03368585976</v>
      </c>
      <c r="AF8" s="64">
        <v>2553</v>
      </c>
      <c r="AG8" s="64">
        <v>343993859</v>
      </c>
      <c r="AH8" s="64">
        <f t="shared" si="12"/>
        <v>94853.832962962959</v>
      </c>
      <c r="AI8" s="64">
        <v>2700</v>
      </c>
      <c r="AJ8" s="65">
        <v>256105349</v>
      </c>
      <c r="AK8" s="171"/>
      <c r="AL8" s="121"/>
      <c r="AM8" s="63" t="s">
        <v>96</v>
      </c>
      <c r="AN8" s="64">
        <f t="shared" si="13"/>
        <v>1019882.1681415929</v>
      </c>
      <c r="AO8" s="64">
        <f t="shared" ref="AO8:AP28" si="19">AR8+AU8</f>
        <v>339</v>
      </c>
      <c r="AP8" s="64">
        <f t="shared" si="19"/>
        <v>345740055</v>
      </c>
      <c r="AQ8" s="64">
        <f t="shared" si="14"/>
        <v>1028743.7289719626</v>
      </c>
      <c r="AR8" s="64">
        <v>214</v>
      </c>
      <c r="AS8" s="64">
        <v>220151158</v>
      </c>
      <c r="AT8" s="64">
        <f t="shared" si="15"/>
        <v>1004711.176</v>
      </c>
      <c r="AU8" s="64">
        <v>125</v>
      </c>
      <c r="AV8" s="65">
        <v>125588897</v>
      </c>
    </row>
    <row r="9" spans="1:48" ht="24" customHeight="1">
      <c r="A9" s="171"/>
      <c r="B9" s="121"/>
      <c r="C9" s="63" t="s">
        <v>97</v>
      </c>
      <c r="D9" s="64">
        <f t="shared" si="4"/>
        <v>1190484.8789781888</v>
      </c>
      <c r="E9" s="64">
        <f t="shared" si="16"/>
        <v>11783</v>
      </c>
      <c r="F9" s="64">
        <f t="shared" si="16"/>
        <v>14027483329</v>
      </c>
      <c r="G9" s="64">
        <f t="shared" si="5"/>
        <v>1232470.6542153955</v>
      </c>
      <c r="H9" s="64">
        <v>5729</v>
      </c>
      <c r="I9" s="64">
        <v>7060824378</v>
      </c>
      <c r="J9" s="64">
        <f t="shared" si="6"/>
        <v>1150753.0477370333</v>
      </c>
      <c r="K9" s="64">
        <v>6054</v>
      </c>
      <c r="L9" s="65">
        <v>6966658951</v>
      </c>
      <c r="M9" s="171"/>
      <c r="N9" s="121"/>
      <c r="O9" s="63" t="s">
        <v>97</v>
      </c>
      <c r="P9" s="64">
        <f t="shared" si="7"/>
        <v>14357.443375555164</v>
      </c>
      <c r="Q9" s="64">
        <v>39553</v>
      </c>
      <c r="R9" s="64">
        <f t="shared" si="17"/>
        <v>6814559494</v>
      </c>
      <c r="S9" s="64">
        <f t="shared" si="8"/>
        <v>15422.015387139936</v>
      </c>
      <c r="T9" s="64">
        <v>19805.5</v>
      </c>
      <c r="U9" s="64">
        <v>3665288709</v>
      </c>
      <c r="V9" s="64">
        <f t="shared" si="9"/>
        <v>13289.744630121955</v>
      </c>
      <c r="W9" s="64">
        <v>19747.5</v>
      </c>
      <c r="X9" s="65">
        <v>3149270785</v>
      </c>
      <c r="Y9" s="171"/>
      <c r="Z9" s="121"/>
      <c r="AA9" s="63" t="s">
        <v>97</v>
      </c>
      <c r="AB9" s="64">
        <f t="shared" si="10"/>
        <v>110516.85252365931</v>
      </c>
      <c r="AC9" s="64">
        <f t="shared" si="18"/>
        <v>2536</v>
      </c>
      <c r="AD9" s="64">
        <f t="shared" si="18"/>
        <v>280270738</v>
      </c>
      <c r="AE9" s="64">
        <f t="shared" si="11"/>
        <v>137151.46111547525</v>
      </c>
      <c r="AF9" s="64">
        <v>1273</v>
      </c>
      <c r="AG9" s="64">
        <v>174593810</v>
      </c>
      <c r="AH9" s="64">
        <f t="shared" si="12"/>
        <v>83671.360253364997</v>
      </c>
      <c r="AI9" s="64">
        <v>1263</v>
      </c>
      <c r="AJ9" s="65">
        <v>105676928</v>
      </c>
      <c r="AK9" s="171"/>
      <c r="AL9" s="121"/>
      <c r="AM9" s="63" t="s">
        <v>97</v>
      </c>
      <c r="AN9" s="64">
        <f t="shared" si="13"/>
        <v>840584.04347826086</v>
      </c>
      <c r="AO9" s="64">
        <f t="shared" si="19"/>
        <v>184</v>
      </c>
      <c r="AP9" s="64">
        <f t="shared" si="19"/>
        <v>154667464</v>
      </c>
      <c r="AQ9" s="64">
        <f t="shared" si="14"/>
        <v>875430.25961538462</v>
      </c>
      <c r="AR9" s="64">
        <v>104</v>
      </c>
      <c r="AS9" s="64">
        <v>91044747</v>
      </c>
      <c r="AT9" s="64">
        <f t="shared" si="15"/>
        <v>795283.96250000002</v>
      </c>
      <c r="AU9" s="64">
        <v>80</v>
      </c>
      <c r="AV9" s="65">
        <v>63622717</v>
      </c>
    </row>
    <row r="10" spans="1:48" ht="24" customHeight="1">
      <c r="A10" s="171"/>
      <c r="B10" s="121"/>
      <c r="C10" s="63" t="s">
        <v>98</v>
      </c>
      <c r="D10" s="64">
        <f t="shared" si="4"/>
        <v>1112711.8807140272</v>
      </c>
      <c r="E10" s="64">
        <f t="shared" si="16"/>
        <v>8291</v>
      </c>
      <c r="F10" s="64">
        <f t="shared" si="16"/>
        <v>9225494203</v>
      </c>
      <c r="G10" s="64">
        <f t="shared" si="5"/>
        <v>1152853.093113482</v>
      </c>
      <c r="H10" s="64">
        <v>4124</v>
      </c>
      <c r="I10" s="64">
        <v>4754366156</v>
      </c>
      <c r="J10" s="64">
        <f t="shared" si="6"/>
        <v>1072984.8924886009</v>
      </c>
      <c r="K10" s="64">
        <v>4167</v>
      </c>
      <c r="L10" s="65">
        <v>4471128047</v>
      </c>
      <c r="M10" s="171"/>
      <c r="N10" s="121"/>
      <c r="O10" s="63" t="s">
        <v>98</v>
      </c>
      <c r="P10" s="64">
        <f t="shared" si="7"/>
        <v>13902.550181930021</v>
      </c>
      <c r="Q10" s="64">
        <v>31972</v>
      </c>
      <c r="R10" s="64">
        <f t="shared" si="17"/>
        <v>5333908013</v>
      </c>
      <c r="S10" s="64">
        <f t="shared" si="8"/>
        <v>15083.366073286905</v>
      </c>
      <c r="T10" s="64">
        <v>15022.42</v>
      </c>
      <c r="U10" s="64">
        <v>2719063922</v>
      </c>
      <c r="V10" s="64">
        <f t="shared" si="9"/>
        <v>12855.992552617821</v>
      </c>
      <c r="W10" s="64">
        <v>16949.580000000002</v>
      </c>
      <c r="X10" s="65">
        <v>2614844091</v>
      </c>
      <c r="Y10" s="171"/>
      <c r="Z10" s="121"/>
      <c r="AA10" s="63" t="s">
        <v>98</v>
      </c>
      <c r="AB10" s="64">
        <f t="shared" si="10"/>
        <v>104768.03796610169</v>
      </c>
      <c r="AC10" s="64">
        <f t="shared" si="18"/>
        <v>1475</v>
      </c>
      <c r="AD10" s="64">
        <f t="shared" si="18"/>
        <v>154532856</v>
      </c>
      <c r="AE10" s="64">
        <f t="shared" si="11"/>
        <v>127349.51319261214</v>
      </c>
      <c r="AF10" s="64">
        <v>758</v>
      </c>
      <c r="AG10" s="64">
        <v>96530931</v>
      </c>
      <c r="AH10" s="64">
        <f t="shared" si="12"/>
        <v>80895.292887029282</v>
      </c>
      <c r="AI10" s="64">
        <v>717</v>
      </c>
      <c r="AJ10" s="65">
        <v>58001925</v>
      </c>
      <c r="AK10" s="171"/>
      <c r="AL10" s="121"/>
      <c r="AM10" s="63" t="s">
        <v>98</v>
      </c>
      <c r="AN10" s="64">
        <f t="shared" si="13"/>
        <v>769878.80337078648</v>
      </c>
      <c r="AO10" s="64">
        <f t="shared" si="19"/>
        <v>178</v>
      </c>
      <c r="AP10" s="64">
        <f t="shared" si="19"/>
        <v>137038427</v>
      </c>
      <c r="AQ10" s="64">
        <f t="shared" si="14"/>
        <v>778296.21359223302</v>
      </c>
      <c r="AR10" s="64">
        <v>103</v>
      </c>
      <c r="AS10" s="64">
        <v>80164510</v>
      </c>
      <c r="AT10" s="64">
        <f t="shared" si="15"/>
        <v>758318.89333333331</v>
      </c>
      <c r="AU10" s="64">
        <v>75</v>
      </c>
      <c r="AV10" s="65">
        <v>56873917</v>
      </c>
    </row>
    <row r="11" spans="1:48" ht="24" customHeight="1">
      <c r="A11" s="171"/>
      <c r="B11" s="121"/>
      <c r="C11" s="63" t="s">
        <v>99</v>
      </c>
      <c r="D11" s="64">
        <f t="shared" si="4"/>
        <v>1186150.594859655</v>
      </c>
      <c r="E11" s="64">
        <f t="shared" si="16"/>
        <v>14785</v>
      </c>
      <c r="F11" s="64">
        <f t="shared" si="16"/>
        <v>17537236545</v>
      </c>
      <c r="G11" s="64">
        <f t="shared" si="5"/>
        <v>1212729.2272527472</v>
      </c>
      <c r="H11" s="64">
        <v>6825</v>
      </c>
      <c r="I11" s="64">
        <v>8276876976</v>
      </c>
      <c r="J11" s="64">
        <f t="shared" si="6"/>
        <v>1163361.7548994974</v>
      </c>
      <c r="K11" s="64">
        <v>7960</v>
      </c>
      <c r="L11" s="65">
        <v>9260359569</v>
      </c>
      <c r="M11" s="171"/>
      <c r="N11" s="121"/>
      <c r="O11" s="63" t="s">
        <v>99</v>
      </c>
      <c r="P11" s="64">
        <f t="shared" si="7"/>
        <v>15058.981747435651</v>
      </c>
      <c r="Q11" s="64">
        <v>57097</v>
      </c>
      <c r="R11" s="64">
        <f t="shared" si="17"/>
        <v>10317872170</v>
      </c>
      <c r="S11" s="64">
        <f t="shared" si="8"/>
        <v>16511.340531821934</v>
      </c>
      <c r="T11" s="64">
        <v>25466.92</v>
      </c>
      <c r="U11" s="64">
        <v>5045915861</v>
      </c>
      <c r="V11" s="64">
        <f t="shared" si="9"/>
        <v>13889.616858909831</v>
      </c>
      <c r="W11" s="64">
        <v>31630.080000000002</v>
      </c>
      <c r="X11" s="65">
        <v>5271956309</v>
      </c>
      <c r="Y11" s="171"/>
      <c r="Z11" s="121"/>
      <c r="AA11" s="63" t="s">
        <v>99</v>
      </c>
      <c r="AB11" s="64">
        <f t="shared" si="10"/>
        <v>103640.62413371382</v>
      </c>
      <c r="AC11" s="64">
        <f t="shared" si="18"/>
        <v>2453</v>
      </c>
      <c r="AD11" s="64">
        <f t="shared" si="18"/>
        <v>254230451</v>
      </c>
      <c r="AE11" s="64">
        <f t="shared" si="11"/>
        <v>127307.84040092521</v>
      </c>
      <c r="AF11" s="64">
        <v>1297</v>
      </c>
      <c r="AG11" s="64">
        <v>165118269</v>
      </c>
      <c r="AH11" s="64">
        <f t="shared" si="12"/>
        <v>77086.66262975779</v>
      </c>
      <c r="AI11" s="64">
        <v>1156</v>
      </c>
      <c r="AJ11" s="65">
        <v>89112182</v>
      </c>
      <c r="AK11" s="171"/>
      <c r="AL11" s="121"/>
      <c r="AM11" s="63" t="s">
        <v>99</v>
      </c>
      <c r="AN11" s="64">
        <f t="shared" si="13"/>
        <v>940711.3345864662</v>
      </c>
      <c r="AO11" s="64">
        <f t="shared" si="19"/>
        <v>266</v>
      </c>
      <c r="AP11" s="64">
        <f t="shared" si="19"/>
        <v>250229215</v>
      </c>
      <c r="AQ11" s="64">
        <f t="shared" si="14"/>
        <v>1034181.5269461077</v>
      </c>
      <c r="AR11" s="64">
        <v>167</v>
      </c>
      <c r="AS11" s="64">
        <v>172708315</v>
      </c>
      <c r="AT11" s="64">
        <f t="shared" si="15"/>
        <v>783039.39393939392</v>
      </c>
      <c r="AU11" s="64">
        <v>99</v>
      </c>
      <c r="AV11" s="65">
        <v>77520900</v>
      </c>
    </row>
    <row r="12" spans="1:48" ht="24" customHeight="1">
      <c r="A12" s="172"/>
      <c r="B12" s="122"/>
      <c r="C12" s="69" t="s">
        <v>77</v>
      </c>
      <c r="D12" s="70">
        <f t="shared" si="4"/>
        <v>1492378.2489938289</v>
      </c>
      <c r="E12" s="70">
        <f t="shared" si="16"/>
        <v>3727</v>
      </c>
      <c r="F12" s="70">
        <f t="shared" si="16"/>
        <v>5562093734</v>
      </c>
      <c r="G12" s="70">
        <f t="shared" si="5"/>
        <v>1415195.4187256177</v>
      </c>
      <c r="H12" s="70">
        <v>1538</v>
      </c>
      <c r="I12" s="70">
        <v>2176570554</v>
      </c>
      <c r="J12" s="70">
        <f t="shared" si="6"/>
        <v>1546607.2087711284</v>
      </c>
      <c r="K12" s="70">
        <v>2189</v>
      </c>
      <c r="L12" s="71">
        <v>3385523180</v>
      </c>
      <c r="M12" s="172"/>
      <c r="N12" s="122"/>
      <c r="O12" s="69" t="s">
        <v>77</v>
      </c>
      <c r="P12" s="70">
        <f t="shared" si="7"/>
        <v>17258.87862023267</v>
      </c>
      <c r="Q12" s="70">
        <v>13330.75</v>
      </c>
      <c r="R12" s="70">
        <f t="shared" si="17"/>
        <v>2760885554</v>
      </c>
      <c r="S12" s="70">
        <f t="shared" si="8"/>
        <v>17935.81485731576</v>
      </c>
      <c r="T12" s="70">
        <v>4670.92</v>
      </c>
      <c r="U12" s="70">
        <v>1005321076</v>
      </c>
      <c r="V12" s="70">
        <f t="shared" si="9"/>
        <v>16893.754246138011</v>
      </c>
      <c r="W12" s="70">
        <v>8659.83</v>
      </c>
      <c r="X12" s="71">
        <v>1755564478</v>
      </c>
      <c r="Y12" s="172"/>
      <c r="Z12" s="122"/>
      <c r="AA12" s="69" t="s">
        <v>77</v>
      </c>
      <c r="AB12" s="70">
        <f t="shared" si="10"/>
        <v>110686.56122448979</v>
      </c>
      <c r="AC12" s="70">
        <f t="shared" si="18"/>
        <v>98</v>
      </c>
      <c r="AD12" s="70">
        <f t="shared" si="18"/>
        <v>10847283</v>
      </c>
      <c r="AE12" s="70">
        <f t="shared" si="11"/>
        <v>133609.77966101695</v>
      </c>
      <c r="AF12" s="70">
        <v>59</v>
      </c>
      <c r="AG12" s="70">
        <v>7882977</v>
      </c>
      <c r="AH12" s="70">
        <f t="shared" si="12"/>
        <v>76007.846153846156</v>
      </c>
      <c r="AI12" s="70">
        <v>39</v>
      </c>
      <c r="AJ12" s="71">
        <v>2964306</v>
      </c>
      <c r="AK12" s="172"/>
      <c r="AL12" s="122"/>
      <c r="AM12" s="69" t="s">
        <v>77</v>
      </c>
      <c r="AN12" s="70">
        <f t="shared" si="13"/>
        <v>841526.27272727271</v>
      </c>
      <c r="AO12" s="70">
        <f t="shared" si="19"/>
        <v>77</v>
      </c>
      <c r="AP12" s="70">
        <f t="shared" si="19"/>
        <v>64797523</v>
      </c>
      <c r="AQ12" s="70">
        <f t="shared" si="14"/>
        <v>924695.07142857148</v>
      </c>
      <c r="AR12" s="70">
        <v>42</v>
      </c>
      <c r="AS12" s="70">
        <v>38837193</v>
      </c>
      <c r="AT12" s="70">
        <f t="shared" si="15"/>
        <v>741723.71428571432</v>
      </c>
      <c r="AU12" s="70">
        <v>35</v>
      </c>
      <c r="AV12" s="71">
        <v>25960330</v>
      </c>
    </row>
    <row r="13" spans="1:48" ht="24" customHeight="1">
      <c r="A13" s="172"/>
      <c r="B13" s="122"/>
      <c r="C13" s="69" t="s">
        <v>78</v>
      </c>
      <c r="D13" s="70">
        <f t="shared" si="4"/>
        <v>1305209.5956482321</v>
      </c>
      <c r="E13" s="70">
        <f t="shared" si="16"/>
        <v>9927</v>
      </c>
      <c r="F13" s="70">
        <f t="shared" si="16"/>
        <v>12956815656</v>
      </c>
      <c r="G13" s="70">
        <f t="shared" si="5"/>
        <v>1349425.6786177105</v>
      </c>
      <c r="H13" s="70">
        <v>4630</v>
      </c>
      <c r="I13" s="70">
        <v>6247840892</v>
      </c>
      <c r="J13" s="70">
        <f t="shared" si="6"/>
        <v>1266561.2165376628</v>
      </c>
      <c r="K13" s="70">
        <v>5297</v>
      </c>
      <c r="L13" s="71">
        <v>6708974764</v>
      </c>
      <c r="M13" s="172"/>
      <c r="N13" s="122"/>
      <c r="O13" s="69" t="s">
        <v>78</v>
      </c>
      <c r="P13" s="70">
        <f t="shared" si="7"/>
        <v>15541.306396357029</v>
      </c>
      <c r="Q13" s="70">
        <v>29933.08</v>
      </c>
      <c r="R13" s="70">
        <f t="shared" si="17"/>
        <v>5582390012</v>
      </c>
      <c r="S13" s="70">
        <f t="shared" si="8"/>
        <v>16706.702758810668</v>
      </c>
      <c r="T13" s="70">
        <v>14895.67</v>
      </c>
      <c r="U13" s="70">
        <v>2986290373</v>
      </c>
      <c r="V13" s="70">
        <f t="shared" si="9"/>
        <v>14386.88528905446</v>
      </c>
      <c r="W13" s="70">
        <v>15037.42</v>
      </c>
      <c r="X13" s="71">
        <v>2596099639</v>
      </c>
      <c r="Y13" s="172"/>
      <c r="Z13" s="122"/>
      <c r="AA13" s="69" t="s">
        <v>78</v>
      </c>
      <c r="AB13" s="70">
        <f t="shared" si="10"/>
        <v>116369.08204334366</v>
      </c>
      <c r="AC13" s="70">
        <f t="shared" si="18"/>
        <v>1292</v>
      </c>
      <c r="AD13" s="70">
        <f t="shared" si="18"/>
        <v>150348854</v>
      </c>
      <c r="AE13" s="70">
        <f t="shared" si="11"/>
        <v>145300.09872611464</v>
      </c>
      <c r="AF13" s="70">
        <v>628</v>
      </c>
      <c r="AG13" s="70">
        <v>91248462</v>
      </c>
      <c r="AH13" s="70">
        <f t="shared" si="12"/>
        <v>89006.614457831325</v>
      </c>
      <c r="AI13" s="70">
        <v>664</v>
      </c>
      <c r="AJ13" s="71">
        <v>59100392</v>
      </c>
      <c r="AK13" s="172"/>
      <c r="AL13" s="122"/>
      <c r="AM13" s="69" t="s">
        <v>78</v>
      </c>
      <c r="AN13" s="70">
        <f t="shared" si="13"/>
        <v>1052754.8434782608</v>
      </c>
      <c r="AO13" s="70">
        <f t="shared" si="19"/>
        <v>115</v>
      </c>
      <c r="AP13" s="70">
        <f t="shared" si="19"/>
        <v>121066807</v>
      </c>
      <c r="AQ13" s="70">
        <f t="shared" si="14"/>
        <v>1088856.3857142858</v>
      </c>
      <c r="AR13" s="70">
        <v>70</v>
      </c>
      <c r="AS13" s="70">
        <v>76219947</v>
      </c>
      <c r="AT13" s="70">
        <f t="shared" si="15"/>
        <v>996596.88888888888</v>
      </c>
      <c r="AU13" s="70">
        <v>45</v>
      </c>
      <c r="AV13" s="71">
        <v>44846860</v>
      </c>
    </row>
    <row r="14" spans="1:48" ht="24" customHeight="1">
      <c r="A14" s="172"/>
      <c r="B14" s="122"/>
      <c r="C14" s="69" t="s">
        <v>79</v>
      </c>
      <c r="D14" s="70">
        <f t="shared" si="4"/>
        <v>1387313.5809248555</v>
      </c>
      <c r="E14" s="70">
        <f t="shared" si="16"/>
        <v>2422</v>
      </c>
      <c r="F14" s="70">
        <f t="shared" si="16"/>
        <v>3360073493</v>
      </c>
      <c r="G14" s="70">
        <f t="shared" si="5"/>
        <v>1391118.447519084</v>
      </c>
      <c r="H14" s="70">
        <v>1048</v>
      </c>
      <c r="I14" s="70">
        <v>1457892133</v>
      </c>
      <c r="J14" s="70">
        <f t="shared" si="6"/>
        <v>1384411.4701601164</v>
      </c>
      <c r="K14" s="70">
        <v>1374</v>
      </c>
      <c r="L14" s="71">
        <v>1902181360</v>
      </c>
      <c r="M14" s="172"/>
      <c r="N14" s="122"/>
      <c r="O14" s="69" t="s">
        <v>79</v>
      </c>
      <c r="P14" s="70">
        <f t="shared" si="7"/>
        <v>16498.213869683186</v>
      </c>
      <c r="Q14" s="70">
        <v>7439.92</v>
      </c>
      <c r="R14" s="70">
        <f t="shared" si="17"/>
        <v>1472944696</v>
      </c>
      <c r="S14" s="70">
        <f t="shared" si="8"/>
        <v>17124.177799229637</v>
      </c>
      <c r="T14" s="70">
        <v>3149.17</v>
      </c>
      <c r="U14" s="70">
        <v>647123364</v>
      </c>
      <c r="V14" s="70">
        <f t="shared" si="9"/>
        <v>16038.791431179476</v>
      </c>
      <c r="W14" s="70">
        <v>4290.75</v>
      </c>
      <c r="X14" s="71">
        <v>825821332</v>
      </c>
      <c r="Y14" s="172"/>
      <c r="Z14" s="122"/>
      <c r="AA14" s="69" t="s">
        <v>79</v>
      </c>
      <c r="AB14" s="70">
        <f t="shared" si="10"/>
        <v>135143.57512953368</v>
      </c>
      <c r="AC14" s="70">
        <f t="shared" si="18"/>
        <v>193</v>
      </c>
      <c r="AD14" s="70">
        <f t="shared" si="18"/>
        <v>26082710</v>
      </c>
      <c r="AE14" s="70">
        <f t="shared" si="11"/>
        <v>161518.80769230769</v>
      </c>
      <c r="AF14" s="70">
        <v>104</v>
      </c>
      <c r="AG14" s="70">
        <v>16797956</v>
      </c>
      <c r="AH14" s="70">
        <f t="shared" si="12"/>
        <v>104323.0786516854</v>
      </c>
      <c r="AI14" s="70">
        <v>89</v>
      </c>
      <c r="AJ14" s="71">
        <v>9284754</v>
      </c>
      <c r="AK14" s="172"/>
      <c r="AL14" s="122"/>
      <c r="AM14" s="69" t="s">
        <v>79</v>
      </c>
      <c r="AN14" s="70">
        <f t="shared" si="13"/>
        <v>1045431.0789473684</v>
      </c>
      <c r="AO14" s="70">
        <f t="shared" si="19"/>
        <v>38</v>
      </c>
      <c r="AP14" s="70">
        <f t="shared" si="19"/>
        <v>39726381</v>
      </c>
      <c r="AQ14" s="70">
        <f t="shared" si="14"/>
        <v>1049612.2916666667</v>
      </c>
      <c r="AR14" s="70">
        <v>24</v>
      </c>
      <c r="AS14" s="70">
        <v>25190695</v>
      </c>
      <c r="AT14" s="70">
        <f t="shared" si="15"/>
        <v>1038263.2857142857</v>
      </c>
      <c r="AU14" s="70">
        <v>14</v>
      </c>
      <c r="AV14" s="71">
        <v>14535686</v>
      </c>
    </row>
    <row r="15" spans="1:48" ht="24" customHeight="1">
      <c r="A15" s="172"/>
      <c r="B15" s="122"/>
      <c r="C15" s="69" t="s">
        <v>80</v>
      </c>
      <c r="D15" s="70">
        <f t="shared" si="4"/>
        <v>1303148.1373212943</v>
      </c>
      <c r="E15" s="70">
        <f t="shared" si="16"/>
        <v>2658</v>
      </c>
      <c r="F15" s="70">
        <f t="shared" si="16"/>
        <v>3463767749</v>
      </c>
      <c r="G15" s="70">
        <f t="shared" si="5"/>
        <v>1322596.0966386555</v>
      </c>
      <c r="H15" s="70">
        <v>1190</v>
      </c>
      <c r="I15" s="70">
        <v>1573889355</v>
      </c>
      <c r="J15" s="70">
        <f t="shared" si="6"/>
        <v>1287383.1021798365</v>
      </c>
      <c r="K15" s="70">
        <v>1468</v>
      </c>
      <c r="L15" s="71">
        <v>1889878394</v>
      </c>
      <c r="M15" s="172"/>
      <c r="N15" s="122"/>
      <c r="O15" s="69" t="s">
        <v>80</v>
      </c>
      <c r="P15" s="70">
        <f t="shared" si="7"/>
        <v>15467.329870566806</v>
      </c>
      <c r="Q15" s="70">
        <v>9352.83</v>
      </c>
      <c r="R15" s="70">
        <f t="shared" si="17"/>
        <v>1735959682</v>
      </c>
      <c r="S15" s="70">
        <f t="shared" si="8"/>
        <v>16276.136273767457</v>
      </c>
      <c r="T15" s="70">
        <v>3962</v>
      </c>
      <c r="U15" s="70">
        <v>773832623</v>
      </c>
      <c r="V15" s="70">
        <f t="shared" si="9"/>
        <v>14872.896180489215</v>
      </c>
      <c r="W15" s="70">
        <v>5390.83</v>
      </c>
      <c r="X15" s="71">
        <v>962127059</v>
      </c>
      <c r="Y15" s="172"/>
      <c r="Z15" s="122"/>
      <c r="AA15" s="69" t="s">
        <v>80</v>
      </c>
      <c r="AB15" s="70">
        <f t="shared" si="10"/>
        <v>112666.60663507109</v>
      </c>
      <c r="AC15" s="70">
        <f t="shared" si="18"/>
        <v>211</v>
      </c>
      <c r="AD15" s="70">
        <f t="shared" si="18"/>
        <v>23772654</v>
      </c>
      <c r="AE15" s="70">
        <f t="shared" si="11"/>
        <v>148362.82727272727</v>
      </c>
      <c r="AF15" s="70">
        <v>110</v>
      </c>
      <c r="AG15" s="70">
        <v>16319911</v>
      </c>
      <c r="AH15" s="70">
        <f t="shared" si="12"/>
        <v>73789.534653465351</v>
      </c>
      <c r="AI15" s="70">
        <v>101</v>
      </c>
      <c r="AJ15" s="71">
        <v>7452743</v>
      </c>
      <c r="AK15" s="172"/>
      <c r="AL15" s="122"/>
      <c r="AM15" s="69" t="s">
        <v>80</v>
      </c>
      <c r="AN15" s="70">
        <f t="shared" si="13"/>
        <v>897338.47272727278</v>
      </c>
      <c r="AO15" s="70">
        <f t="shared" si="19"/>
        <v>55</v>
      </c>
      <c r="AP15" s="70">
        <f t="shared" si="19"/>
        <v>49353616</v>
      </c>
      <c r="AQ15" s="70">
        <f t="shared" si="14"/>
        <v>918205.54545454541</v>
      </c>
      <c r="AR15" s="70">
        <v>33</v>
      </c>
      <c r="AS15" s="70">
        <v>30300783</v>
      </c>
      <c r="AT15" s="70">
        <f t="shared" si="15"/>
        <v>866037.86363636365</v>
      </c>
      <c r="AU15" s="70">
        <v>22</v>
      </c>
      <c r="AV15" s="71">
        <v>19052833</v>
      </c>
    </row>
    <row r="16" spans="1:48" ht="24" customHeight="1">
      <c r="A16" s="172"/>
      <c r="B16" s="122"/>
      <c r="C16" s="69" t="s">
        <v>81</v>
      </c>
      <c r="D16" s="70">
        <f t="shared" si="4"/>
        <v>1204784.6580724372</v>
      </c>
      <c r="E16" s="70">
        <f t="shared" si="16"/>
        <v>4887</v>
      </c>
      <c r="F16" s="70">
        <f t="shared" si="16"/>
        <v>5887782624</v>
      </c>
      <c r="G16" s="70">
        <f t="shared" si="5"/>
        <v>1247307.0578778135</v>
      </c>
      <c r="H16" s="70">
        <v>2488</v>
      </c>
      <c r="I16" s="70">
        <v>3103299960</v>
      </c>
      <c r="J16" s="70">
        <f t="shared" si="6"/>
        <v>1160684.7286369321</v>
      </c>
      <c r="K16" s="70">
        <v>2399</v>
      </c>
      <c r="L16" s="71">
        <v>2784482664</v>
      </c>
      <c r="M16" s="172"/>
      <c r="N16" s="122"/>
      <c r="O16" s="69" t="s">
        <v>81</v>
      </c>
      <c r="P16" s="70">
        <f t="shared" si="7"/>
        <v>14340.595619914842</v>
      </c>
      <c r="Q16" s="70">
        <v>19767.5</v>
      </c>
      <c r="R16" s="70">
        <f t="shared" si="17"/>
        <v>3401732687</v>
      </c>
      <c r="S16" s="70">
        <f t="shared" si="8"/>
        <v>15408.629217188647</v>
      </c>
      <c r="T16" s="70">
        <v>9531.33</v>
      </c>
      <c r="U16" s="70">
        <v>1762376759</v>
      </c>
      <c r="V16" s="70">
        <f t="shared" si="9"/>
        <v>13346.104451176563</v>
      </c>
      <c r="W16" s="70">
        <v>10236.17</v>
      </c>
      <c r="X16" s="71">
        <v>1639355928</v>
      </c>
      <c r="Y16" s="172"/>
      <c r="Z16" s="122"/>
      <c r="AA16" s="69" t="s">
        <v>81</v>
      </c>
      <c r="AB16" s="70">
        <f t="shared" si="10"/>
        <v>109134.69251336898</v>
      </c>
      <c r="AC16" s="70">
        <f t="shared" si="18"/>
        <v>748</v>
      </c>
      <c r="AD16" s="70">
        <f t="shared" si="18"/>
        <v>81632750</v>
      </c>
      <c r="AE16" s="70">
        <f t="shared" si="11"/>
        <v>133663.14864864864</v>
      </c>
      <c r="AF16" s="70">
        <v>370</v>
      </c>
      <c r="AG16" s="70">
        <v>49455365</v>
      </c>
      <c r="AH16" s="70">
        <f t="shared" si="12"/>
        <v>85125.357142857145</v>
      </c>
      <c r="AI16" s="70">
        <v>378</v>
      </c>
      <c r="AJ16" s="71">
        <v>32177385</v>
      </c>
      <c r="AK16" s="172"/>
      <c r="AL16" s="122"/>
      <c r="AM16" s="69" t="s">
        <v>81</v>
      </c>
      <c r="AN16" s="70">
        <f t="shared" si="13"/>
        <v>847968.90825688071</v>
      </c>
      <c r="AO16" s="70">
        <f t="shared" si="19"/>
        <v>109</v>
      </c>
      <c r="AP16" s="70">
        <f t="shared" si="19"/>
        <v>92428611</v>
      </c>
      <c r="AQ16" s="70">
        <f t="shared" si="14"/>
        <v>916312.6323529412</v>
      </c>
      <c r="AR16" s="70">
        <v>68</v>
      </c>
      <c r="AS16" s="70">
        <v>62309259</v>
      </c>
      <c r="AT16" s="70">
        <f t="shared" si="15"/>
        <v>734618.3414634146</v>
      </c>
      <c r="AU16" s="70">
        <v>41</v>
      </c>
      <c r="AV16" s="71">
        <v>30119352</v>
      </c>
    </row>
    <row r="17" spans="1:48" ht="24" customHeight="1">
      <c r="A17" s="172"/>
      <c r="B17" s="122"/>
      <c r="C17" s="69" t="s">
        <v>82</v>
      </c>
      <c r="D17" s="70">
        <f t="shared" si="4"/>
        <v>1254814.7687555163</v>
      </c>
      <c r="E17" s="70">
        <f t="shared" si="16"/>
        <v>2266</v>
      </c>
      <c r="F17" s="70">
        <f t="shared" si="16"/>
        <v>2843410266</v>
      </c>
      <c r="G17" s="70">
        <f t="shared" si="5"/>
        <v>1251706.2723772859</v>
      </c>
      <c r="H17" s="70">
        <v>1039</v>
      </c>
      <c r="I17" s="70">
        <v>1300522817</v>
      </c>
      <c r="J17" s="70">
        <f t="shared" si="6"/>
        <v>1257446.9837000815</v>
      </c>
      <c r="K17" s="70">
        <v>1227</v>
      </c>
      <c r="L17" s="71">
        <v>1542887449</v>
      </c>
      <c r="M17" s="172"/>
      <c r="N17" s="122"/>
      <c r="O17" s="69" t="s">
        <v>82</v>
      </c>
      <c r="P17" s="70">
        <f t="shared" si="7"/>
        <v>15541.43808907395</v>
      </c>
      <c r="Q17" s="70">
        <v>10552.58</v>
      </c>
      <c r="R17" s="70">
        <f t="shared" si="17"/>
        <v>1968027225</v>
      </c>
      <c r="S17" s="70">
        <f t="shared" si="8"/>
        <v>16290.837583468538</v>
      </c>
      <c r="T17" s="70">
        <v>4209.67</v>
      </c>
      <c r="U17" s="70">
        <v>822948603</v>
      </c>
      <c r="V17" s="70">
        <f t="shared" si="9"/>
        <v>15044.05202966457</v>
      </c>
      <c r="W17" s="70">
        <v>6342.92</v>
      </c>
      <c r="X17" s="71">
        <v>1145078622</v>
      </c>
      <c r="Y17" s="172"/>
      <c r="Z17" s="122"/>
      <c r="AA17" s="69" t="s">
        <v>82</v>
      </c>
      <c r="AB17" s="70">
        <f t="shared" si="10"/>
        <v>116041.41326530612</v>
      </c>
      <c r="AC17" s="70">
        <f t="shared" si="18"/>
        <v>196</v>
      </c>
      <c r="AD17" s="70">
        <f t="shared" si="18"/>
        <v>22744117</v>
      </c>
      <c r="AE17" s="70">
        <f t="shared" si="11"/>
        <v>133287.6017699115</v>
      </c>
      <c r="AF17" s="70">
        <v>113</v>
      </c>
      <c r="AG17" s="70">
        <v>15061499</v>
      </c>
      <c r="AH17" s="70">
        <f t="shared" si="12"/>
        <v>92561.662650602404</v>
      </c>
      <c r="AI17" s="70">
        <v>83</v>
      </c>
      <c r="AJ17" s="71">
        <v>7682618</v>
      </c>
      <c r="AK17" s="172"/>
      <c r="AL17" s="122"/>
      <c r="AM17" s="69" t="s">
        <v>82</v>
      </c>
      <c r="AN17" s="70">
        <f t="shared" si="13"/>
        <v>857524.07692307688</v>
      </c>
      <c r="AO17" s="70">
        <f t="shared" si="19"/>
        <v>65</v>
      </c>
      <c r="AP17" s="70">
        <f t="shared" si="19"/>
        <v>55739065</v>
      </c>
      <c r="AQ17" s="70">
        <f t="shared" si="14"/>
        <v>915597.6470588235</v>
      </c>
      <c r="AR17" s="70">
        <v>34</v>
      </c>
      <c r="AS17" s="70">
        <v>31130320</v>
      </c>
      <c r="AT17" s="70">
        <f t="shared" si="15"/>
        <v>793830.48387096776</v>
      </c>
      <c r="AU17" s="70">
        <v>31</v>
      </c>
      <c r="AV17" s="71">
        <v>24608745</v>
      </c>
    </row>
    <row r="18" spans="1:48" ht="24" customHeight="1">
      <c r="A18" s="172"/>
      <c r="B18" s="122"/>
      <c r="C18" s="69" t="s">
        <v>83</v>
      </c>
      <c r="D18" s="70">
        <f t="shared" si="4"/>
        <v>1200867.8594664931</v>
      </c>
      <c r="E18" s="70">
        <f t="shared" si="16"/>
        <v>3074</v>
      </c>
      <c r="F18" s="70">
        <f t="shared" si="16"/>
        <v>3691467800</v>
      </c>
      <c r="G18" s="70">
        <f t="shared" si="5"/>
        <v>1202319.4950564972</v>
      </c>
      <c r="H18" s="70">
        <v>1416</v>
      </c>
      <c r="I18" s="70">
        <v>1702484405</v>
      </c>
      <c r="J18" s="70">
        <f t="shared" si="6"/>
        <v>1199628.1031363087</v>
      </c>
      <c r="K18" s="70">
        <v>1658</v>
      </c>
      <c r="L18" s="71">
        <v>1988983395</v>
      </c>
      <c r="M18" s="172"/>
      <c r="N18" s="122"/>
      <c r="O18" s="69" t="s">
        <v>83</v>
      </c>
      <c r="P18" s="70">
        <f t="shared" si="7"/>
        <v>14362.837450002897</v>
      </c>
      <c r="Q18" s="70">
        <v>13002.42</v>
      </c>
      <c r="R18" s="70">
        <f t="shared" si="17"/>
        <v>2241019739</v>
      </c>
      <c r="S18" s="70">
        <f t="shared" si="8"/>
        <v>15280.288759930487</v>
      </c>
      <c r="T18" s="70">
        <v>5478.08</v>
      </c>
      <c r="U18" s="70">
        <v>1004479731</v>
      </c>
      <c r="V18" s="70">
        <f t="shared" si="9"/>
        <v>13694.907143448874</v>
      </c>
      <c r="W18" s="70">
        <v>7524.33</v>
      </c>
      <c r="X18" s="71">
        <v>1236540008</v>
      </c>
      <c r="Y18" s="172"/>
      <c r="Z18" s="122"/>
      <c r="AA18" s="69" t="s">
        <v>83</v>
      </c>
      <c r="AB18" s="70">
        <f t="shared" si="10"/>
        <v>108810.51295336787</v>
      </c>
      <c r="AC18" s="70">
        <f t="shared" si="18"/>
        <v>193</v>
      </c>
      <c r="AD18" s="70">
        <f t="shared" si="18"/>
        <v>21000429</v>
      </c>
      <c r="AE18" s="70">
        <f t="shared" si="11"/>
        <v>122632.0775862069</v>
      </c>
      <c r="AF18" s="70">
        <v>116</v>
      </c>
      <c r="AG18" s="70">
        <v>14225321</v>
      </c>
      <c r="AH18" s="70">
        <f t="shared" si="12"/>
        <v>87988.41558441559</v>
      </c>
      <c r="AI18" s="70">
        <v>77</v>
      </c>
      <c r="AJ18" s="71">
        <v>6775108</v>
      </c>
      <c r="AK18" s="172"/>
      <c r="AL18" s="122"/>
      <c r="AM18" s="69" t="s">
        <v>83</v>
      </c>
      <c r="AN18" s="70">
        <f t="shared" si="13"/>
        <v>800130.85393258429</v>
      </c>
      <c r="AO18" s="70">
        <f t="shared" si="19"/>
        <v>89</v>
      </c>
      <c r="AP18" s="70">
        <f t="shared" si="19"/>
        <v>71211646</v>
      </c>
      <c r="AQ18" s="70">
        <f t="shared" si="14"/>
        <v>809063.86</v>
      </c>
      <c r="AR18" s="70">
        <v>50</v>
      </c>
      <c r="AS18" s="70">
        <v>40453193</v>
      </c>
      <c r="AT18" s="70">
        <f t="shared" si="15"/>
        <v>788678.282051282</v>
      </c>
      <c r="AU18" s="70">
        <v>39</v>
      </c>
      <c r="AV18" s="71">
        <v>30758453</v>
      </c>
    </row>
    <row r="19" spans="1:48" ht="24" customHeight="1">
      <c r="A19" s="172"/>
      <c r="B19" s="122"/>
      <c r="C19" s="69" t="s">
        <v>84</v>
      </c>
      <c r="D19" s="70">
        <f t="shared" si="4"/>
        <v>1161551.5685950413</v>
      </c>
      <c r="E19" s="70">
        <f t="shared" si="16"/>
        <v>1210</v>
      </c>
      <c r="F19" s="70">
        <f t="shared" si="16"/>
        <v>1405477398</v>
      </c>
      <c r="G19" s="70">
        <f t="shared" si="5"/>
        <v>1208842.3073248407</v>
      </c>
      <c r="H19" s="70">
        <v>628</v>
      </c>
      <c r="I19" s="70">
        <v>759152969</v>
      </c>
      <c r="J19" s="70">
        <f t="shared" si="6"/>
        <v>1110523.0738831614</v>
      </c>
      <c r="K19" s="70">
        <v>582</v>
      </c>
      <c r="L19" s="71">
        <v>646324429</v>
      </c>
      <c r="M19" s="172"/>
      <c r="N19" s="122"/>
      <c r="O19" s="69" t="s">
        <v>84</v>
      </c>
      <c r="P19" s="70">
        <f t="shared" si="7"/>
        <v>14637.447173747538</v>
      </c>
      <c r="Q19" s="70">
        <v>3909.83</v>
      </c>
      <c r="R19" s="70">
        <f t="shared" si="17"/>
        <v>686759161</v>
      </c>
      <c r="S19" s="70">
        <f t="shared" si="8"/>
        <v>15677.592467962198</v>
      </c>
      <c r="T19" s="70">
        <v>1901.92</v>
      </c>
      <c r="U19" s="70">
        <v>357810320</v>
      </c>
      <c r="V19" s="70">
        <f t="shared" si="9"/>
        <v>13652.139236954992</v>
      </c>
      <c r="W19" s="70">
        <v>2007.92</v>
      </c>
      <c r="X19" s="71">
        <v>328948841</v>
      </c>
      <c r="Y19" s="172"/>
      <c r="Z19" s="122"/>
      <c r="AA19" s="69" t="s">
        <v>84</v>
      </c>
      <c r="AB19" s="70">
        <f t="shared" si="10"/>
        <v>107366.37037037036</v>
      </c>
      <c r="AC19" s="70">
        <f t="shared" si="18"/>
        <v>162</v>
      </c>
      <c r="AD19" s="70">
        <f t="shared" si="18"/>
        <v>17393352</v>
      </c>
      <c r="AE19" s="70">
        <f t="shared" si="11"/>
        <v>134451.92134831462</v>
      </c>
      <c r="AF19" s="70">
        <v>89</v>
      </c>
      <c r="AG19" s="70">
        <v>11966221</v>
      </c>
      <c r="AH19" s="70">
        <f t="shared" si="12"/>
        <v>74344.260273972599</v>
      </c>
      <c r="AI19" s="70">
        <v>73</v>
      </c>
      <c r="AJ19" s="71">
        <v>5427131</v>
      </c>
      <c r="AK19" s="172"/>
      <c r="AL19" s="122"/>
      <c r="AM19" s="69" t="s">
        <v>84</v>
      </c>
      <c r="AN19" s="70">
        <f t="shared" si="13"/>
        <v>962522.92</v>
      </c>
      <c r="AO19" s="70">
        <f t="shared" si="19"/>
        <v>25</v>
      </c>
      <c r="AP19" s="70">
        <f t="shared" si="19"/>
        <v>24063073</v>
      </c>
      <c r="AQ19" s="70">
        <f t="shared" si="14"/>
        <v>1037241</v>
      </c>
      <c r="AR19" s="70">
        <v>12</v>
      </c>
      <c r="AS19" s="70">
        <v>12446892</v>
      </c>
      <c r="AT19" s="70">
        <f t="shared" si="15"/>
        <v>893552.38461538462</v>
      </c>
      <c r="AU19" s="70">
        <v>13</v>
      </c>
      <c r="AV19" s="71">
        <v>11616181</v>
      </c>
    </row>
    <row r="20" spans="1:48" ht="24" customHeight="1">
      <c r="A20" s="172"/>
      <c r="B20" s="122"/>
      <c r="C20" s="69" t="s">
        <v>85</v>
      </c>
      <c r="D20" s="70">
        <f t="shared" si="4"/>
        <v>1116905.2344416028</v>
      </c>
      <c r="E20" s="70">
        <f t="shared" si="16"/>
        <v>3519</v>
      </c>
      <c r="F20" s="70">
        <f t="shared" si="16"/>
        <v>3930389520</v>
      </c>
      <c r="G20" s="70">
        <f t="shared" si="5"/>
        <v>1149505.673088501</v>
      </c>
      <c r="H20" s="70">
        <v>1661</v>
      </c>
      <c r="I20" s="70">
        <v>1909328923</v>
      </c>
      <c r="J20" s="70">
        <f t="shared" si="6"/>
        <v>1087761.3546824541</v>
      </c>
      <c r="K20" s="70">
        <v>1858</v>
      </c>
      <c r="L20" s="71">
        <v>2021060597</v>
      </c>
      <c r="M20" s="172"/>
      <c r="N20" s="122"/>
      <c r="O20" s="69" t="s">
        <v>85</v>
      </c>
      <c r="P20" s="70">
        <f t="shared" si="7"/>
        <v>14189.72315619017</v>
      </c>
      <c r="Q20" s="70">
        <v>11245.33</v>
      </c>
      <c r="R20" s="70">
        <f t="shared" si="17"/>
        <v>1914817434</v>
      </c>
      <c r="S20" s="70">
        <f t="shared" si="8"/>
        <v>14984.605910905613</v>
      </c>
      <c r="T20" s="70">
        <v>4835.92</v>
      </c>
      <c r="U20" s="70">
        <v>869572265</v>
      </c>
      <c r="V20" s="70">
        <f t="shared" si="9"/>
        <v>13589.960415034953</v>
      </c>
      <c r="W20" s="70">
        <v>6409.42</v>
      </c>
      <c r="X20" s="71">
        <v>1045245169</v>
      </c>
      <c r="Y20" s="172"/>
      <c r="Z20" s="122"/>
      <c r="AA20" s="69" t="s">
        <v>85</v>
      </c>
      <c r="AB20" s="70">
        <f t="shared" si="10"/>
        <v>110216.76010101011</v>
      </c>
      <c r="AC20" s="70">
        <f t="shared" si="18"/>
        <v>396</v>
      </c>
      <c r="AD20" s="70">
        <f t="shared" si="18"/>
        <v>43645837</v>
      </c>
      <c r="AE20" s="70">
        <f t="shared" si="11"/>
        <v>133029.06103286386</v>
      </c>
      <c r="AF20" s="70">
        <v>213</v>
      </c>
      <c r="AG20" s="70">
        <v>28335190</v>
      </c>
      <c r="AH20" s="70">
        <f t="shared" si="12"/>
        <v>83664.737704918036</v>
      </c>
      <c r="AI20" s="70">
        <v>183</v>
      </c>
      <c r="AJ20" s="71">
        <v>15310647</v>
      </c>
      <c r="AK20" s="172"/>
      <c r="AL20" s="122"/>
      <c r="AM20" s="69" t="s">
        <v>85</v>
      </c>
      <c r="AN20" s="70">
        <f t="shared" si="13"/>
        <v>924807.8</v>
      </c>
      <c r="AO20" s="70">
        <f t="shared" si="19"/>
        <v>55</v>
      </c>
      <c r="AP20" s="70">
        <f t="shared" si="19"/>
        <v>50864429</v>
      </c>
      <c r="AQ20" s="70">
        <f t="shared" si="14"/>
        <v>1025315.6875</v>
      </c>
      <c r="AR20" s="70">
        <v>32</v>
      </c>
      <c r="AS20" s="70">
        <v>32810102</v>
      </c>
      <c r="AT20" s="70">
        <f t="shared" si="15"/>
        <v>784970.73913043481</v>
      </c>
      <c r="AU20" s="70">
        <v>23</v>
      </c>
      <c r="AV20" s="71">
        <v>18054327</v>
      </c>
    </row>
    <row r="21" spans="1:48" ht="24" customHeight="1">
      <c r="A21" s="172"/>
      <c r="B21" s="122"/>
      <c r="C21" s="69" t="s">
        <v>86</v>
      </c>
      <c r="D21" s="70">
        <f t="shared" si="4"/>
        <v>1082035.5830388693</v>
      </c>
      <c r="E21" s="70">
        <f t="shared" si="16"/>
        <v>849</v>
      </c>
      <c r="F21" s="70">
        <f t="shared" si="16"/>
        <v>918648210</v>
      </c>
      <c r="G21" s="70">
        <f t="shared" si="5"/>
        <v>1083365.8242574257</v>
      </c>
      <c r="H21" s="70">
        <v>404</v>
      </c>
      <c r="I21" s="70">
        <v>437679793</v>
      </c>
      <c r="J21" s="70">
        <f t="shared" si="6"/>
        <v>1080827.9033707865</v>
      </c>
      <c r="K21" s="70">
        <v>445</v>
      </c>
      <c r="L21" s="71">
        <v>480968417</v>
      </c>
      <c r="M21" s="172"/>
      <c r="N21" s="122"/>
      <c r="O21" s="69" t="s">
        <v>86</v>
      </c>
      <c r="P21" s="70">
        <f t="shared" si="7"/>
        <v>14635.915842943437</v>
      </c>
      <c r="Q21" s="70">
        <v>3035</v>
      </c>
      <c r="R21" s="70">
        <f t="shared" si="17"/>
        <v>533040055</v>
      </c>
      <c r="S21" s="70">
        <f t="shared" si="8"/>
        <v>15863.922299603988</v>
      </c>
      <c r="T21" s="70">
        <v>1220.5</v>
      </c>
      <c r="U21" s="70">
        <v>232343006</v>
      </c>
      <c r="V21" s="70">
        <f t="shared" si="9"/>
        <v>13809.913153302105</v>
      </c>
      <c r="W21" s="70">
        <v>1814.5</v>
      </c>
      <c r="X21" s="71">
        <v>300697049</v>
      </c>
      <c r="Y21" s="172"/>
      <c r="Z21" s="122"/>
      <c r="AA21" s="69" t="s">
        <v>86</v>
      </c>
      <c r="AB21" s="70">
        <f t="shared" si="10"/>
        <v>116398.11926605504</v>
      </c>
      <c r="AC21" s="70">
        <f t="shared" si="18"/>
        <v>109</v>
      </c>
      <c r="AD21" s="70">
        <f t="shared" si="18"/>
        <v>12687395</v>
      </c>
      <c r="AE21" s="70">
        <f t="shared" si="11"/>
        <v>134325.90666666668</v>
      </c>
      <c r="AF21" s="70">
        <v>75</v>
      </c>
      <c r="AG21" s="70">
        <v>10074443</v>
      </c>
      <c r="AH21" s="70">
        <f t="shared" si="12"/>
        <v>76851.529411764699</v>
      </c>
      <c r="AI21" s="70">
        <v>34</v>
      </c>
      <c r="AJ21" s="71">
        <v>2612952</v>
      </c>
      <c r="AK21" s="172"/>
      <c r="AL21" s="122"/>
      <c r="AM21" s="69" t="s">
        <v>86</v>
      </c>
      <c r="AN21" s="70">
        <f t="shared" si="13"/>
        <v>825962.29411764711</v>
      </c>
      <c r="AO21" s="70">
        <f t="shared" si="19"/>
        <v>17</v>
      </c>
      <c r="AP21" s="70">
        <f t="shared" si="19"/>
        <v>14041359</v>
      </c>
      <c r="AQ21" s="70">
        <f t="shared" si="14"/>
        <v>944439.14285714284</v>
      </c>
      <c r="AR21" s="70">
        <v>7</v>
      </c>
      <c r="AS21" s="70">
        <v>6611074</v>
      </c>
      <c r="AT21" s="70">
        <f t="shared" si="15"/>
        <v>743028.5</v>
      </c>
      <c r="AU21" s="70">
        <v>10</v>
      </c>
      <c r="AV21" s="71">
        <v>7430285</v>
      </c>
    </row>
    <row r="22" spans="1:48" ht="24" customHeight="1">
      <c r="A22" s="172"/>
      <c r="B22" s="122"/>
      <c r="C22" s="69" t="s">
        <v>87</v>
      </c>
      <c r="D22" s="70">
        <f t="shared" si="4"/>
        <v>1179440.9463262116</v>
      </c>
      <c r="E22" s="70">
        <f t="shared" si="16"/>
        <v>1919</v>
      </c>
      <c r="F22" s="70">
        <f t="shared" si="16"/>
        <v>2263347176</v>
      </c>
      <c r="G22" s="70">
        <f t="shared" si="5"/>
        <v>1156989.5440180588</v>
      </c>
      <c r="H22" s="70">
        <v>886</v>
      </c>
      <c r="I22" s="70">
        <v>1025092736</v>
      </c>
      <c r="J22" s="70">
        <f t="shared" si="6"/>
        <v>1198697.4249757987</v>
      </c>
      <c r="K22" s="70">
        <v>1033</v>
      </c>
      <c r="L22" s="71">
        <v>1238254440</v>
      </c>
      <c r="M22" s="172"/>
      <c r="N22" s="122"/>
      <c r="O22" s="69" t="s">
        <v>87</v>
      </c>
      <c r="P22" s="70">
        <f t="shared" si="7"/>
        <v>16005.170591601434</v>
      </c>
      <c r="Q22" s="70">
        <v>7304.58</v>
      </c>
      <c r="R22" s="70">
        <f t="shared" si="17"/>
        <v>1402932588</v>
      </c>
      <c r="S22" s="70">
        <f t="shared" si="8"/>
        <v>17148.424714565215</v>
      </c>
      <c r="T22" s="70">
        <v>2850.33</v>
      </c>
      <c r="U22" s="70">
        <v>586544033</v>
      </c>
      <c r="V22" s="70">
        <f t="shared" si="9"/>
        <v>15273.588052608931</v>
      </c>
      <c r="W22" s="70">
        <v>4454.25</v>
      </c>
      <c r="X22" s="71">
        <v>816388555</v>
      </c>
      <c r="Y22" s="172"/>
      <c r="Z22" s="122"/>
      <c r="AA22" s="69" t="s">
        <v>87</v>
      </c>
      <c r="AB22" s="70">
        <f t="shared" si="10"/>
        <v>134513.84293193716</v>
      </c>
      <c r="AC22" s="70">
        <f t="shared" si="18"/>
        <v>191</v>
      </c>
      <c r="AD22" s="70">
        <f t="shared" si="18"/>
        <v>25692144</v>
      </c>
      <c r="AE22" s="70">
        <f t="shared" si="11"/>
        <v>145545.19327731093</v>
      </c>
      <c r="AF22" s="70">
        <v>119</v>
      </c>
      <c r="AG22" s="70">
        <v>17319878</v>
      </c>
      <c r="AH22" s="70">
        <f t="shared" si="12"/>
        <v>116281.47222222222</v>
      </c>
      <c r="AI22" s="70">
        <v>72</v>
      </c>
      <c r="AJ22" s="71">
        <v>8372266</v>
      </c>
      <c r="AK22" s="172"/>
      <c r="AL22" s="122"/>
      <c r="AM22" s="69" t="s">
        <v>87</v>
      </c>
      <c r="AN22" s="70">
        <f t="shared" si="13"/>
        <v>1041782.5238095238</v>
      </c>
      <c r="AO22" s="70">
        <f t="shared" si="19"/>
        <v>42</v>
      </c>
      <c r="AP22" s="70">
        <f t="shared" si="19"/>
        <v>43754866</v>
      </c>
      <c r="AQ22" s="70">
        <f t="shared" si="14"/>
        <v>1030367</v>
      </c>
      <c r="AR22" s="70">
        <v>27</v>
      </c>
      <c r="AS22" s="70">
        <v>27819909</v>
      </c>
      <c r="AT22" s="70">
        <f t="shared" si="15"/>
        <v>1062330.4666666666</v>
      </c>
      <c r="AU22" s="70">
        <v>15</v>
      </c>
      <c r="AV22" s="71">
        <v>15934957</v>
      </c>
    </row>
    <row r="23" spans="1:48" ht="24" customHeight="1">
      <c r="A23" s="172"/>
      <c r="B23" s="122"/>
      <c r="C23" s="69" t="s">
        <v>88</v>
      </c>
      <c r="D23" s="70">
        <f t="shared" si="4"/>
        <v>1156338.8014354068</v>
      </c>
      <c r="E23" s="70">
        <f t="shared" si="16"/>
        <v>418</v>
      </c>
      <c r="F23" s="70">
        <f t="shared" si="16"/>
        <v>483349619</v>
      </c>
      <c r="G23" s="70">
        <f t="shared" si="5"/>
        <v>1208258.6140350876</v>
      </c>
      <c r="H23" s="70">
        <v>228</v>
      </c>
      <c r="I23" s="70">
        <v>275482964</v>
      </c>
      <c r="J23" s="70">
        <f t="shared" si="6"/>
        <v>1094035.0263157894</v>
      </c>
      <c r="K23" s="70">
        <v>190</v>
      </c>
      <c r="L23" s="71">
        <v>207866655</v>
      </c>
      <c r="M23" s="172"/>
      <c r="N23" s="122"/>
      <c r="O23" s="69" t="s">
        <v>88</v>
      </c>
      <c r="P23" s="70">
        <f t="shared" si="7"/>
        <v>14942.183665494333</v>
      </c>
      <c r="Q23" s="70">
        <v>1279.5</v>
      </c>
      <c r="R23" s="70">
        <f t="shared" si="17"/>
        <v>229422288</v>
      </c>
      <c r="S23" s="70">
        <f t="shared" si="8"/>
        <v>16076.948058290358</v>
      </c>
      <c r="T23" s="70">
        <v>511.92</v>
      </c>
      <c r="U23" s="70">
        <v>98761335</v>
      </c>
      <c r="V23" s="70">
        <f t="shared" si="9"/>
        <v>14185.378397040047</v>
      </c>
      <c r="W23" s="70">
        <v>767.58</v>
      </c>
      <c r="X23" s="71">
        <v>130660953</v>
      </c>
      <c r="Y23" s="172"/>
      <c r="Z23" s="122"/>
      <c r="AA23" s="69" t="s">
        <v>88</v>
      </c>
      <c r="AB23" s="70">
        <f t="shared" si="10"/>
        <v>92318.066666666666</v>
      </c>
      <c r="AC23" s="70">
        <f t="shared" si="18"/>
        <v>15</v>
      </c>
      <c r="AD23" s="70">
        <f t="shared" si="18"/>
        <v>1384771</v>
      </c>
      <c r="AE23" s="70">
        <f t="shared" si="11"/>
        <v>44385.166666666664</v>
      </c>
      <c r="AF23" s="70">
        <v>6</v>
      </c>
      <c r="AG23" s="70">
        <v>266311</v>
      </c>
      <c r="AH23" s="70">
        <f t="shared" si="12"/>
        <v>124273.33333333333</v>
      </c>
      <c r="AI23" s="70">
        <v>9</v>
      </c>
      <c r="AJ23" s="71">
        <v>1118460</v>
      </c>
      <c r="AK23" s="172"/>
      <c r="AL23" s="122"/>
      <c r="AM23" s="69" t="s">
        <v>88</v>
      </c>
      <c r="AN23" s="70">
        <f t="shared" si="13"/>
        <v>875248.5</v>
      </c>
      <c r="AO23" s="70">
        <f t="shared" si="19"/>
        <v>8</v>
      </c>
      <c r="AP23" s="70">
        <f t="shared" si="19"/>
        <v>7001988</v>
      </c>
      <c r="AQ23" s="70">
        <f t="shared" si="14"/>
        <v>853030.85714285716</v>
      </c>
      <c r="AR23" s="70">
        <v>7</v>
      </c>
      <c r="AS23" s="70">
        <v>5971216</v>
      </c>
      <c r="AT23" s="70">
        <f t="shared" si="15"/>
        <v>1030772</v>
      </c>
      <c r="AU23" s="70">
        <v>1</v>
      </c>
      <c r="AV23" s="71">
        <v>1030772</v>
      </c>
    </row>
    <row r="24" spans="1:48" ht="24" customHeight="1">
      <c r="A24" s="172"/>
      <c r="B24" s="122"/>
      <c r="C24" s="69" t="s">
        <v>89</v>
      </c>
      <c r="D24" s="70">
        <f t="shared" si="4"/>
        <v>1454597.6225476651</v>
      </c>
      <c r="E24" s="70">
        <f t="shared" si="16"/>
        <v>3619</v>
      </c>
      <c r="F24" s="70">
        <f t="shared" si="16"/>
        <v>5264188796</v>
      </c>
      <c r="G24" s="70">
        <f t="shared" si="5"/>
        <v>1397082.1868720697</v>
      </c>
      <c r="H24" s="70">
        <v>1493</v>
      </c>
      <c r="I24" s="70">
        <v>2085843705</v>
      </c>
      <c r="J24" s="70">
        <f t="shared" si="6"/>
        <v>1494988.2836312323</v>
      </c>
      <c r="K24" s="70">
        <v>2126</v>
      </c>
      <c r="L24" s="71">
        <v>3178345091</v>
      </c>
      <c r="M24" s="172"/>
      <c r="N24" s="122"/>
      <c r="O24" s="69" t="s">
        <v>89</v>
      </c>
      <c r="P24" s="70">
        <f t="shared" si="7"/>
        <v>17639.810819654838</v>
      </c>
      <c r="Q24" s="70">
        <v>11184.83</v>
      </c>
      <c r="R24" s="70">
        <f t="shared" si="17"/>
        <v>2367579423</v>
      </c>
      <c r="S24" s="70">
        <f t="shared" si="8"/>
        <v>18280.645023858215</v>
      </c>
      <c r="T24" s="70">
        <v>4048.92</v>
      </c>
      <c r="U24" s="70">
        <v>888202431</v>
      </c>
      <c r="V24" s="70">
        <f t="shared" si="9"/>
        <v>17276.176862969314</v>
      </c>
      <c r="W24" s="70">
        <v>7135.92</v>
      </c>
      <c r="X24" s="71">
        <v>1479376992</v>
      </c>
      <c r="Y24" s="172"/>
      <c r="Z24" s="122"/>
      <c r="AA24" s="69" t="s">
        <v>89</v>
      </c>
      <c r="AB24" s="70">
        <f t="shared" si="10"/>
        <v>114786.80597014926</v>
      </c>
      <c r="AC24" s="70">
        <f t="shared" si="18"/>
        <v>201</v>
      </c>
      <c r="AD24" s="70">
        <f t="shared" si="18"/>
        <v>23072148</v>
      </c>
      <c r="AE24" s="70">
        <f t="shared" si="11"/>
        <v>134408.75862068965</v>
      </c>
      <c r="AF24" s="70">
        <v>116</v>
      </c>
      <c r="AG24" s="70">
        <v>15591416</v>
      </c>
      <c r="AH24" s="70">
        <f t="shared" si="12"/>
        <v>88008.611764705885</v>
      </c>
      <c r="AI24" s="70">
        <v>85</v>
      </c>
      <c r="AJ24" s="71">
        <v>7480732</v>
      </c>
      <c r="AK24" s="172"/>
      <c r="AL24" s="122"/>
      <c r="AM24" s="69" t="s">
        <v>89</v>
      </c>
      <c r="AN24" s="70">
        <f t="shared" si="13"/>
        <v>1040277.7435897436</v>
      </c>
      <c r="AO24" s="70">
        <f t="shared" si="19"/>
        <v>39</v>
      </c>
      <c r="AP24" s="70">
        <f t="shared" si="19"/>
        <v>40570832</v>
      </c>
      <c r="AQ24" s="70">
        <f t="shared" si="14"/>
        <v>1121781.1666666667</v>
      </c>
      <c r="AR24" s="70">
        <v>24</v>
      </c>
      <c r="AS24" s="70">
        <v>26922748</v>
      </c>
      <c r="AT24" s="70">
        <f t="shared" si="15"/>
        <v>909872.26666666672</v>
      </c>
      <c r="AU24" s="70">
        <v>15</v>
      </c>
      <c r="AV24" s="71">
        <v>13648084</v>
      </c>
    </row>
    <row r="25" spans="1:48" ht="24" customHeight="1">
      <c r="A25" s="172"/>
      <c r="B25" s="122"/>
      <c r="C25" s="69" t="s">
        <v>90</v>
      </c>
      <c r="D25" s="70">
        <f t="shared" si="4"/>
        <v>1340461.575</v>
      </c>
      <c r="E25" s="70">
        <f t="shared" si="16"/>
        <v>3000</v>
      </c>
      <c r="F25" s="70">
        <f t="shared" si="16"/>
        <v>4021384725</v>
      </c>
      <c r="G25" s="70">
        <f t="shared" si="5"/>
        <v>1332166.0673076923</v>
      </c>
      <c r="H25" s="70">
        <v>1352</v>
      </c>
      <c r="I25" s="70">
        <v>1801088523</v>
      </c>
      <c r="J25" s="70">
        <f t="shared" si="6"/>
        <v>1347267.1128640776</v>
      </c>
      <c r="K25" s="70">
        <v>1648</v>
      </c>
      <c r="L25" s="71">
        <v>2220296202</v>
      </c>
      <c r="M25" s="172"/>
      <c r="N25" s="122"/>
      <c r="O25" s="69" t="s">
        <v>90</v>
      </c>
      <c r="P25" s="70">
        <f t="shared" si="7"/>
        <v>15914.560787603257</v>
      </c>
      <c r="Q25" s="70">
        <v>8690.67</v>
      </c>
      <c r="R25" s="70">
        <f t="shared" si="17"/>
        <v>1659698352</v>
      </c>
      <c r="S25" s="70">
        <f t="shared" si="8"/>
        <v>16579.768330998177</v>
      </c>
      <c r="T25" s="70">
        <v>3925.5</v>
      </c>
      <c r="U25" s="70">
        <v>781006567</v>
      </c>
      <c r="V25" s="70">
        <f t="shared" si="9"/>
        <v>15366.569380875533</v>
      </c>
      <c r="W25" s="70">
        <v>4765.17</v>
      </c>
      <c r="X25" s="71">
        <v>878691785</v>
      </c>
      <c r="Y25" s="172"/>
      <c r="Z25" s="122"/>
      <c r="AA25" s="69" t="s">
        <v>90</v>
      </c>
      <c r="AB25" s="70">
        <f t="shared" si="10"/>
        <v>129029.67045454546</v>
      </c>
      <c r="AC25" s="70">
        <f t="shared" si="18"/>
        <v>264</v>
      </c>
      <c r="AD25" s="70">
        <f t="shared" si="18"/>
        <v>34063833</v>
      </c>
      <c r="AE25" s="70">
        <f t="shared" si="11"/>
        <v>149247.65771812081</v>
      </c>
      <c r="AF25" s="70">
        <v>149</v>
      </c>
      <c r="AG25" s="70">
        <v>22237901</v>
      </c>
      <c r="AH25" s="70">
        <f t="shared" si="12"/>
        <v>102834.19130434783</v>
      </c>
      <c r="AI25" s="70">
        <v>115</v>
      </c>
      <c r="AJ25" s="71">
        <v>11825932</v>
      </c>
      <c r="AK25" s="172"/>
      <c r="AL25" s="122"/>
      <c r="AM25" s="69" t="s">
        <v>90</v>
      </c>
      <c r="AN25" s="70">
        <f t="shared" si="13"/>
        <v>842095.6</v>
      </c>
      <c r="AO25" s="70">
        <f t="shared" si="19"/>
        <v>40</v>
      </c>
      <c r="AP25" s="70">
        <f t="shared" si="19"/>
        <v>33683824</v>
      </c>
      <c r="AQ25" s="70">
        <f t="shared" si="14"/>
        <v>867515.40740740742</v>
      </c>
      <c r="AR25" s="70">
        <v>27</v>
      </c>
      <c r="AS25" s="70">
        <v>23422916</v>
      </c>
      <c r="AT25" s="70">
        <f t="shared" si="15"/>
        <v>789300.61538461538</v>
      </c>
      <c r="AU25" s="70">
        <v>13</v>
      </c>
      <c r="AV25" s="71">
        <v>10260908</v>
      </c>
    </row>
    <row r="26" spans="1:48" ht="24" customHeight="1">
      <c r="A26" s="172"/>
      <c r="B26" s="122"/>
      <c r="C26" s="69" t="s">
        <v>91</v>
      </c>
      <c r="D26" s="70">
        <f t="shared" si="4"/>
        <v>1267069.6194295899</v>
      </c>
      <c r="E26" s="70">
        <f t="shared" si="16"/>
        <v>2244</v>
      </c>
      <c r="F26" s="70">
        <f t="shared" si="16"/>
        <v>2843304226</v>
      </c>
      <c r="G26" s="70">
        <f t="shared" si="5"/>
        <v>1294070.6282287822</v>
      </c>
      <c r="H26" s="70">
        <v>1084</v>
      </c>
      <c r="I26" s="70">
        <v>1402772561</v>
      </c>
      <c r="J26" s="70">
        <f t="shared" si="6"/>
        <v>1241837.6422413792</v>
      </c>
      <c r="K26" s="70">
        <v>1160</v>
      </c>
      <c r="L26" s="71">
        <v>1440531665</v>
      </c>
      <c r="M26" s="172"/>
      <c r="N26" s="122"/>
      <c r="O26" s="69" t="s">
        <v>91</v>
      </c>
      <c r="P26" s="70">
        <f t="shared" si="7"/>
        <v>15140.905522073224</v>
      </c>
      <c r="Q26" s="70">
        <v>8427.33</v>
      </c>
      <c r="R26" s="70">
        <f t="shared" si="17"/>
        <v>1531168888</v>
      </c>
      <c r="S26" s="70">
        <f t="shared" si="8"/>
        <v>15897.524954040988</v>
      </c>
      <c r="T26" s="70">
        <v>3671.75</v>
      </c>
      <c r="U26" s="70">
        <v>700460847</v>
      </c>
      <c r="V26" s="70">
        <f t="shared" si="9"/>
        <v>14556.724959591329</v>
      </c>
      <c r="W26" s="70">
        <v>4755.58</v>
      </c>
      <c r="X26" s="71">
        <v>830708041</v>
      </c>
      <c r="Y26" s="172"/>
      <c r="Z26" s="122"/>
      <c r="AA26" s="69" t="s">
        <v>91</v>
      </c>
      <c r="AB26" s="70">
        <f t="shared" si="10"/>
        <v>93428.127118644072</v>
      </c>
      <c r="AC26" s="70">
        <f t="shared" si="18"/>
        <v>236</v>
      </c>
      <c r="AD26" s="70">
        <f t="shared" si="18"/>
        <v>22049038</v>
      </c>
      <c r="AE26" s="70">
        <f t="shared" si="11"/>
        <v>110732.84126984127</v>
      </c>
      <c r="AF26" s="70">
        <v>126</v>
      </c>
      <c r="AG26" s="70">
        <v>13952338</v>
      </c>
      <c r="AH26" s="70">
        <f t="shared" si="12"/>
        <v>73606.363636363632</v>
      </c>
      <c r="AI26" s="70">
        <v>110</v>
      </c>
      <c r="AJ26" s="71">
        <v>8096700</v>
      </c>
      <c r="AK26" s="172"/>
      <c r="AL26" s="122"/>
      <c r="AM26" s="69" t="s">
        <v>91</v>
      </c>
      <c r="AN26" s="70">
        <f t="shared" si="13"/>
        <v>744481.08510638296</v>
      </c>
      <c r="AO26" s="70">
        <f t="shared" si="19"/>
        <v>47</v>
      </c>
      <c r="AP26" s="70">
        <f t="shared" si="19"/>
        <v>34990611</v>
      </c>
      <c r="AQ26" s="70">
        <f t="shared" si="14"/>
        <v>848690.26666666672</v>
      </c>
      <c r="AR26" s="70">
        <v>30</v>
      </c>
      <c r="AS26" s="70">
        <v>25460708</v>
      </c>
      <c r="AT26" s="70">
        <f t="shared" si="15"/>
        <v>560582.5294117647</v>
      </c>
      <c r="AU26" s="70">
        <v>17</v>
      </c>
      <c r="AV26" s="71">
        <v>9529903</v>
      </c>
    </row>
    <row r="27" spans="1:48" ht="24" customHeight="1">
      <c r="A27" s="172"/>
      <c r="B27" s="122"/>
      <c r="C27" s="69" t="s">
        <v>92</v>
      </c>
      <c r="D27" s="70">
        <f t="shared" si="4"/>
        <v>1190850.185483871</v>
      </c>
      <c r="E27" s="70">
        <f t="shared" si="16"/>
        <v>124</v>
      </c>
      <c r="F27" s="70">
        <f t="shared" si="16"/>
        <v>147665423</v>
      </c>
      <c r="G27" s="70">
        <f t="shared" si="5"/>
        <v>1277866.6493506494</v>
      </c>
      <c r="H27" s="70">
        <v>77</v>
      </c>
      <c r="I27" s="70">
        <v>98395732</v>
      </c>
      <c r="J27" s="70">
        <f t="shared" si="6"/>
        <v>1048291.2978723404</v>
      </c>
      <c r="K27" s="70">
        <v>47</v>
      </c>
      <c r="L27" s="71">
        <v>49269691</v>
      </c>
      <c r="M27" s="172"/>
      <c r="N27" s="122"/>
      <c r="O27" s="69" t="s">
        <v>92</v>
      </c>
      <c r="P27" s="70">
        <f t="shared" si="7"/>
        <v>15920.290963490892</v>
      </c>
      <c r="Q27" s="70">
        <v>594.91999999999996</v>
      </c>
      <c r="R27" s="70">
        <f t="shared" si="17"/>
        <v>113655594</v>
      </c>
      <c r="S27" s="70">
        <f t="shared" si="8"/>
        <v>18572.398767605635</v>
      </c>
      <c r="T27" s="70">
        <v>284</v>
      </c>
      <c r="U27" s="70">
        <v>63294735</v>
      </c>
      <c r="V27" s="70">
        <f t="shared" si="9"/>
        <v>13497.807313778465</v>
      </c>
      <c r="W27" s="70">
        <v>310.92</v>
      </c>
      <c r="X27" s="71">
        <v>50360859</v>
      </c>
      <c r="Y27" s="172"/>
      <c r="Z27" s="122"/>
      <c r="AA27" s="69" t="s">
        <v>92</v>
      </c>
      <c r="AB27" s="70">
        <f t="shared" si="10"/>
        <v>163174.5</v>
      </c>
      <c r="AC27" s="70">
        <f t="shared" si="18"/>
        <v>14</v>
      </c>
      <c r="AD27" s="70">
        <f t="shared" si="18"/>
        <v>2284443</v>
      </c>
      <c r="AE27" s="70">
        <f t="shared" si="11"/>
        <v>138813.33333333334</v>
      </c>
      <c r="AF27" s="70">
        <v>9</v>
      </c>
      <c r="AG27" s="70">
        <v>1249320</v>
      </c>
      <c r="AH27" s="70">
        <f t="shared" si="12"/>
        <v>207024.6</v>
      </c>
      <c r="AI27" s="70">
        <v>5</v>
      </c>
      <c r="AJ27" s="71">
        <v>1035123</v>
      </c>
      <c r="AK27" s="172"/>
      <c r="AL27" s="122"/>
      <c r="AM27" s="69" t="s">
        <v>92</v>
      </c>
      <c r="AN27" s="70">
        <f t="shared" si="13"/>
        <v>833559.33333333337</v>
      </c>
      <c r="AO27" s="70">
        <f t="shared" si="19"/>
        <v>3</v>
      </c>
      <c r="AP27" s="70">
        <f t="shared" si="19"/>
        <v>2500678</v>
      </c>
      <c r="AQ27" s="70">
        <f t="shared" si="14"/>
        <v>993096.5</v>
      </c>
      <c r="AR27" s="70">
        <v>2</v>
      </c>
      <c r="AS27" s="70">
        <v>1986193</v>
      </c>
      <c r="AT27" s="70">
        <f t="shared" si="15"/>
        <v>514485</v>
      </c>
      <c r="AU27" s="70">
        <v>1</v>
      </c>
      <c r="AV27" s="71">
        <v>514485</v>
      </c>
    </row>
    <row r="28" spans="1:48" ht="24" customHeight="1">
      <c r="A28" s="173"/>
      <c r="B28" s="123"/>
      <c r="C28" s="69" t="s">
        <v>93</v>
      </c>
      <c r="D28" s="70">
        <f t="shared" si="4"/>
        <v>887827.21052631584</v>
      </c>
      <c r="E28" s="70">
        <f t="shared" si="16"/>
        <v>19</v>
      </c>
      <c r="F28" s="70">
        <f t="shared" si="16"/>
        <v>16868717</v>
      </c>
      <c r="G28" s="70">
        <f t="shared" si="5"/>
        <v>913004.76923076925</v>
      </c>
      <c r="H28" s="70">
        <v>13</v>
      </c>
      <c r="I28" s="70">
        <v>11869062</v>
      </c>
      <c r="J28" s="70">
        <f t="shared" si="6"/>
        <v>833275.83333333337</v>
      </c>
      <c r="K28" s="70">
        <v>6</v>
      </c>
      <c r="L28" s="71">
        <v>4999655</v>
      </c>
      <c r="M28" s="173"/>
      <c r="N28" s="123"/>
      <c r="O28" s="69" t="s">
        <v>93</v>
      </c>
      <c r="P28" s="70">
        <f t="shared" si="7"/>
        <v>14142.064304369311</v>
      </c>
      <c r="Q28" s="70">
        <v>141.66999999999999</v>
      </c>
      <c r="R28" s="70">
        <f t="shared" si="17"/>
        <v>24042075</v>
      </c>
      <c r="S28" s="70">
        <f t="shared" si="8"/>
        <v>15493.617747440272</v>
      </c>
      <c r="T28" s="70">
        <v>73.25</v>
      </c>
      <c r="U28" s="70">
        <v>13618890</v>
      </c>
      <c r="V28" s="70">
        <f t="shared" si="9"/>
        <v>12695.100116924876</v>
      </c>
      <c r="W28" s="70">
        <v>68.42</v>
      </c>
      <c r="X28" s="71">
        <v>10423185</v>
      </c>
      <c r="Y28" s="173"/>
      <c r="Z28" s="123"/>
      <c r="AA28" s="69" t="s">
        <v>93</v>
      </c>
      <c r="AB28" s="70">
        <f t="shared" si="10"/>
        <v>36512</v>
      </c>
      <c r="AC28" s="70">
        <f t="shared" si="18"/>
        <v>3</v>
      </c>
      <c r="AD28" s="70">
        <f t="shared" si="18"/>
        <v>109536</v>
      </c>
      <c r="AE28" s="70">
        <f t="shared" si="11"/>
        <v>31893</v>
      </c>
      <c r="AF28" s="70">
        <v>2</v>
      </c>
      <c r="AG28" s="70">
        <v>63786</v>
      </c>
      <c r="AH28" s="70">
        <f t="shared" si="12"/>
        <v>45750</v>
      </c>
      <c r="AI28" s="70">
        <v>1</v>
      </c>
      <c r="AJ28" s="71">
        <v>45750</v>
      </c>
      <c r="AK28" s="173"/>
      <c r="AL28" s="123"/>
      <c r="AM28" s="69" t="s">
        <v>93</v>
      </c>
      <c r="AN28" s="70">
        <f t="shared" si="13"/>
        <v>1418224</v>
      </c>
      <c r="AO28" s="70">
        <f t="shared" si="19"/>
        <v>2</v>
      </c>
      <c r="AP28" s="70">
        <f t="shared" si="19"/>
        <v>2836448</v>
      </c>
      <c r="AQ28" s="70">
        <f t="shared" si="14"/>
        <v>1418224</v>
      </c>
      <c r="AR28" s="70">
        <v>2</v>
      </c>
      <c r="AS28" s="70">
        <v>2836448</v>
      </c>
      <c r="AT28" s="70">
        <v>0</v>
      </c>
      <c r="AU28" s="70">
        <v>0</v>
      </c>
      <c r="AV28" s="71">
        <v>0</v>
      </c>
    </row>
    <row r="29" spans="1:48" ht="28.9" customHeight="1">
      <c r="A29" s="166" t="s">
        <v>145</v>
      </c>
      <c r="B29" s="128" t="s">
        <v>63</v>
      </c>
      <c r="C29" s="63" t="s">
        <v>76</v>
      </c>
      <c r="D29" s="64">
        <f t="shared" si="4"/>
        <v>1250688.6716163622</v>
      </c>
      <c r="E29" s="64">
        <f>SUM(E30:E38)</f>
        <v>123846</v>
      </c>
      <c r="F29" s="64">
        <f>SUM(F30:F38)</f>
        <v>154892789225</v>
      </c>
      <c r="G29" s="64">
        <f t="shared" si="5"/>
        <v>1265982.1814615948</v>
      </c>
      <c r="H29" s="64">
        <f>SUM(H30:H38)</f>
        <v>57362</v>
      </c>
      <c r="I29" s="64">
        <f>SUM(I30:I38)</f>
        <v>72619269893</v>
      </c>
      <c r="J29" s="64">
        <f t="shared" si="6"/>
        <v>1237493.5222309127</v>
      </c>
      <c r="K29" s="64">
        <f>SUM(K30:K38)</f>
        <v>66484</v>
      </c>
      <c r="L29" s="65">
        <f>SUM(L30:L38)</f>
        <v>82273519332</v>
      </c>
      <c r="M29" s="166" t="s">
        <v>146</v>
      </c>
      <c r="N29" s="128" t="s">
        <v>63</v>
      </c>
      <c r="O29" s="63" t="s">
        <v>76</v>
      </c>
      <c r="P29" s="64">
        <f>R29/Q29/12</f>
        <v>15215.146545137992</v>
      </c>
      <c r="Q29" s="64">
        <v>439497.92</v>
      </c>
      <c r="R29" s="64">
        <f>SUM(R30:R38)</f>
        <v>80244303109</v>
      </c>
      <c r="S29" s="64">
        <f>U29/T29/12</f>
        <v>16191.139304696755</v>
      </c>
      <c r="T29" s="64">
        <v>200780.5</v>
      </c>
      <c r="U29" s="64">
        <f>SUM(U30:U38)</f>
        <v>39010380542</v>
      </c>
      <c r="V29" s="64">
        <f>X29/W29/12</f>
        <v>14394.258340747258</v>
      </c>
      <c r="W29" s="64">
        <v>238717.42</v>
      </c>
      <c r="X29" s="65">
        <f>SUM(X30:X38)</f>
        <v>41233922567</v>
      </c>
      <c r="Y29" s="166" t="s">
        <v>150</v>
      </c>
      <c r="Z29" s="128" t="s">
        <v>63</v>
      </c>
      <c r="AA29" s="63" t="s">
        <v>76</v>
      </c>
      <c r="AB29" s="64">
        <f t="shared" si="10"/>
        <v>111874.53570296821</v>
      </c>
      <c r="AC29" s="64">
        <f>SUM(AC30:AC38)</f>
        <v>18934</v>
      </c>
      <c r="AD29" s="64">
        <f>SUM(AD30:AD38)</f>
        <v>2118232459</v>
      </c>
      <c r="AE29" s="64">
        <f t="shared" si="11"/>
        <v>135289.19258335931</v>
      </c>
      <c r="AF29" s="64">
        <f>SUM(AF30:AF38)</f>
        <v>9627</v>
      </c>
      <c r="AG29" s="64">
        <f>SUM(AG30:AG38)</f>
        <v>1302429057</v>
      </c>
      <c r="AH29" s="64">
        <f t="shared" si="12"/>
        <v>87654.819168367889</v>
      </c>
      <c r="AI29" s="64">
        <f>SUM(AI30:AI38)</f>
        <v>9307</v>
      </c>
      <c r="AJ29" s="65">
        <f>SUM(AJ30:AJ38)</f>
        <v>815803402</v>
      </c>
      <c r="AK29" s="166" t="s">
        <v>152</v>
      </c>
      <c r="AL29" s="128" t="s">
        <v>63</v>
      </c>
      <c r="AM29" s="63" t="s">
        <v>76</v>
      </c>
      <c r="AN29" s="64">
        <f t="shared" si="13"/>
        <v>922574.80335140461</v>
      </c>
      <c r="AO29" s="64">
        <f>SUM(AO30:AO38)</f>
        <v>2029</v>
      </c>
      <c r="AP29" s="64">
        <f>SUM(AP30:AP38)</f>
        <v>1871904276</v>
      </c>
      <c r="AQ29" s="64">
        <f t="shared" si="14"/>
        <v>967437.52439024393</v>
      </c>
      <c r="AR29" s="64">
        <f>SUM(AR30:AR38)</f>
        <v>1230</v>
      </c>
      <c r="AS29" s="64">
        <f>SUM(AS30:AS38)</f>
        <v>1189948155</v>
      </c>
      <c r="AT29" s="64">
        <f t="shared" si="15"/>
        <v>853512.04130162706</v>
      </c>
      <c r="AU29" s="64">
        <f>SUM(AU30:AU38)</f>
        <v>799</v>
      </c>
      <c r="AV29" s="65">
        <f>SUM(AV30:AV38)</f>
        <v>681956121</v>
      </c>
    </row>
    <row r="30" spans="1:48" ht="28.9" customHeight="1">
      <c r="A30" s="167"/>
      <c r="B30" s="129"/>
      <c r="C30" s="76" t="s">
        <v>137</v>
      </c>
      <c r="D30" s="70">
        <v>0</v>
      </c>
      <c r="E30" s="70">
        <f t="shared" ref="E30:F38" si="20">H30+K30</f>
        <v>0</v>
      </c>
      <c r="F30" s="70">
        <f t="shared" si="20"/>
        <v>0</v>
      </c>
      <c r="G30" s="70">
        <v>0</v>
      </c>
      <c r="H30" s="70">
        <v>0</v>
      </c>
      <c r="I30" s="70">
        <v>0</v>
      </c>
      <c r="J30" s="70">
        <v>0</v>
      </c>
      <c r="K30" s="70">
        <v>0</v>
      </c>
      <c r="L30" s="71">
        <v>0</v>
      </c>
      <c r="M30" s="167"/>
      <c r="N30" s="129"/>
      <c r="O30" s="76" t="s">
        <v>137</v>
      </c>
      <c r="P30" s="70">
        <v>0</v>
      </c>
      <c r="Q30" s="70">
        <v>0</v>
      </c>
      <c r="R30" s="70">
        <f t="shared" ref="R30:R38" si="21">U30+X30</f>
        <v>0</v>
      </c>
      <c r="S30" s="70">
        <v>0</v>
      </c>
      <c r="T30" s="70">
        <v>0</v>
      </c>
      <c r="U30" s="70">
        <v>0</v>
      </c>
      <c r="V30" s="70">
        <v>0</v>
      </c>
      <c r="W30" s="70">
        <v>0</v>
      </c>
      <c r="X30" s="71">
        <v>0</v>
      </c>
      <c r="Y30" s="167"/>
      <c r="Z30" s="129"/>
      <c r="AA30" s="76" t="s">
        <v>137</v>
      </c>
      <c r="AB30" s="70">
        <v>0</v>
      </c>
      <c r="AC30" s="70">
        <f t="shared" ref="AC30:AD38" si="22">AF30+AI30</f>
        <v>0</v>
      </c>
      <c r="AD30" s="70">
        <f t="shared" si="22"/>
        <v>0</v>
      </c>
      <c r="AE30" s="70">
        <v>0</v>
      </c>
      <c r="AF30" s="70">
        <v>0</v>
      </c>
      <c r="AG30" s="70">
        <v>0</v>
      </c>
      <c r="AH30" s="70">
        <v>0</v>
      </c>
      <c r="AI30" s="70">
        <v>0</v>
      </c>
      <c r="AJ30" s="71">
        <v>0</v>
      </c>
      <c r="AK30" s="167"/>
      <c r="AL30" s="129"/>
      <c r="AM30" s="76" t="s">
        <v>137</v>
      </c>
      <c r="AN30" s="70">
        <v>0</v>
      </c>
      <c r="AO30" s="70">
        <f t="shared" ref="AO30:AP38" si="23">AR30+AU30</f>
        <v>0</v>
      </c>
      <c r="AP30" s="70">
        <f t="shared" si="23"/>
        <v>0</v>
      </c>
      <c r="AQ30" s="70">
        <v>0</v>
      </c>
      <c r="AR30" s="70">
        <v>0</v>
      </c>
      <c r="AS30" s="70">
        <v>0</v>
      </c>
      <c r="AT30" s="70">
        <v>0</v>
      </c>
      <c r="AU30" s="70">
        <v>0</v>
      </c>
      <c r="AV30" s="71">
        <v>0</v>
      </c>
    </row>
    <row r="31" spans="1:48" ht="28.9" customHeight="1">
      <c r="A31" s="167"/>
      <c r="B31" s="129"/>
      <c r="C31" s="69" t="s">
        <v>112</v>
      </c>
      <c r="D31" s="70">
        <f t="shared" si="4"/>
        <v>827729</v>
      </c>
      <c r="E31" s="70">
        <f t="shared" si="20"/>
        <v>3</v>
      </c>
      <c r="F31" s="70">
        <f t="shared" si="20"/>
        <v>2483187</v>
      </c>
      <c r="G31" s="70">
        <f t="shared" si="5"/>
        <v>1002984</v>
      </c>
      <c r="H31" s="70">
        <v>1</v>
      </c>
      <c r="I31" s="70">
        <v>1002984</v>
      </c>
      <c r="J31" s="70">
        <f t="shared" si="6"/>
        <v>740101.5</v>
      </c>
      <c r="K31" s="70">
        <v>2</v>
      </c>
      <c r="L31" s="71">
        <v>1480203</v>
      </c>
      <c r="M31" s="167"/>
      <c r="N31" s="129"/>
      <c r="O31" s="69" t="s">
        <v>112</v>
      </c>
      <c r="P31" s="70">
        <v>0</v>
      </c>
      <c r="Q31" s="70">
        <v>0</v>
      </c>
      <c r="R31" s="70">
        <f t="shared" si="21"/>
        <v>0</v>
      </c>
      <c r="S31" s="70">
        <v>0</v>
      </c>
      <c r="T31" s="70">
        <v>0</v>
      </c>
      <c r="U31" s="70">
        <v>0</v>
      </c>
      <c r="V31" s="70">
        <v>0</v>
      </c>
      <c r="W31" s="70">
        <v>0</v>
      </c>
      <c r="X31" s="71">
        <v>0</v>
      </c>
      <c r="Y31" s="167"/>
      <c r="Z31" s="129"/>
      <c r="AA31" s="69" t="s">
        <v>112</v>
      </c>
      <c r="AB31" s="70">
        <v>0</v>
      </c>
      <c r="AC31" s="70">
        <f t="shared" si="22"/>
        <v>0</v>
      </c>
      <c r="AD31" s="70">
        <f t="shared" si="22"/>
        <v>0</v>
      </c>
      <c r="AE31" s="70">
        <v>0</v>
      </c>
      <c r="AF31" s="70">
        <v>0</v>
      </c>
      <c r="AG31" s="70">
        <v>0</v>
      </c>
      <c r="AH31" s="70">
        <v>0</v>
      </c>
      <c r="AI31" s="70">
        <v>0</v>
      </c>
      <c r="AJ31" s="71">
        <v>0</v>
      </c>
      <c r="AK31" s="167"/>
      <c r="AL31" s="129"/>
      <c r="AM31" s="69" t="s">
        <v>112</v>
      </c>
      <c r="AN31" s="70">
        <v>0</v>
      </c>
      <c r="AO31" s="70">
        <f t="shared" si="23"/>
        <v>0</v>
      </c>
      <c r="AP31" s="70">
        <f t="shared" si="23"/>
        <v>0</v>
      </c>
      <c r="AQ31" s="70">
        <v>0</v>
      </c>
      <c r="AR31" s="70">
        <v>0</v>
      </c>
      <c r="AS31" s="70">
        <v>0</v>
      </c>
      <c r="AT31" s="70">
        <v>0</v>
      </c>
      <c r="AU31" s="70">
        <v>0</v>
      </c>
      <c r="AV31" s="71">
        <v>0</v>
      </c>
    </row>
    <row r="32" spans="1:48" ht="28.9" customHeight="1">
      <c r="A32" s="167"/>
      <c r="B32" s="129"/>
      <c r="C32" s="69" t="s">
        <v>113</v>
      </c>
      <c r="D32" s="70">
        <f t="shared" si="4"/>
        <v>1249684.0638095238</v>
      </c>
      <c r="E32" s="70">
        <f t="shared" si="20"/>
        <v>1050</v>
      </c>
      <c r="F32" s="70">
        <f t="shared" si="20"/>
        <v>1312168267</v>
      </c>
      <c r="G32" s="70">
        <f t="shared" si="5"/>
        <v>1231645.4507936507</v>
      </c>
      <c r="H32" s="70">
        <v>315</v>
      </c>
      <c r="I32" s="70">
        <v>387968317</v>
      </c>
      <c r="J32" s="70">
        <f t="shared" si="6"/>
        <v>1257414.8979591837</v>
      </c>
      <c r="K32" s="70">
        <v>735</v>
      </c>
      <c r="L32" s="71">
        <v>924199950</v>
      </c>
      <c r="M32" s="167"/>
      <c r="N32" s="129"/>
      <c r="O32" s="69" t="s">
        <v>113</v>
      </c>
      <c r="P32" s="70">
        <v>0</v>
      </c>
      <c r="Q32" s="70">
        <v>0</v>
      </c>
      <c r="R32" s="70">
        <f t="shared" si="21"/>
        <v>0</v>
      </c>
      <c r="S32" s="70">
        <v>0</v>
      </c>
      <c r="T32" s="70">
        <v>0</v>
      </c>
      <c r="U32" s="70">
        <v>0</v>
      </c>
      <c r="V32" s="70">
        <v>0</v>
      </c>
      <c r="W32" s="70">
        <v>0</v>
      </c>
      <c r="X32" s="71">
        <v>0</v>
      </c>
      <c r="Y32" s="167"/>
      <c r="Z32" s="129"/>
      <c r="AA32" s="69" t="s">
        <v>113</v>
      </c>
      <c r="AB32" s="70">
        <v>0</v>
      </c>
      <c r="AC32" s="70">
        <f t="shared" si="22"/>
        <v>0</v>
      </c>
      <c r="AD32" s="70">
        <f t="shared" si="22"/>
        <v>0</v>
      </c>
      <c r="AE32" s="70">
        <v>0</v>
      </c>
      <c r="AF32" s="70">
        <v>0</v>
      </c>
      <c r="AG32" s="70">
        <v>0</v>
      </c>
      <c r="AH32" s="70">
        <v>0</v>
      </c>
      <c r="AI32" s="70">
        <v>0</v>
      </c>
      <c r="AJ32" s="71">
        <v>0</v>
      </c>
      <c r="AK32" s="167"/>
      <c r="AL32" s="129"/>
      <c r="AM32" s="69" t="s">
        <v>113</v>
      </c>
      <c r="AN32" s="70">
        <v>0</v>
      </c>
      <c r="AO32" s="70">
        <f t="shared" si="23"/>
        <v>0</v>
      </c>
      <c r="AP32" s="70">
        <f t="shared" si="23"/>
        <v>0</v>
      </c>
      <c r="AQ32" s="70">
        <v>0</v>
      </c>
      <c r="AR32" s="70">
        <v>0</v>
      </c>
      <c r="AS32" s="70">
        <v>0</v>
      </c>
      <c r="AT32" s="70">
        <v>0</v>
      </c>
      <c r="AU32" s="70">
        <v>0</v>
      </c>
      <c r="AV32" s="71">
        <v>0</v>
      </c>
    </row>
    <row r="33" spans="1:48" ht="28.9" customHeight="1">
      <c r="A33" s="167"/>
      <c r="B33" s="129"/>
      <c r="C33" s="69" t="s">
        <v>114</v>
      </c>
      <c r="D33" s="70">
        <f t="shared" si="4"/>
        <v>1472020.1985714287</v>
      </c>
      <c r="E33" s="70">
        <f t="shared" si="20"/>
        <v>5600</v>
      </c>
      <c r="F33" s="70">
        <f t="shared" si="20"/>
        <v>8243313112</v>
      </c>
      <c r="G33" s="70">
        <f t="shared" si="5"/>
        <v>1460126.7078152753</v>
      </c>
      <c r="H33" s="70">
        <v>2252</v>
      </c>
      <c r="I33" s="70">
        <v>3288205346</v>
      </c>
      <c r="J33" s="70">
        <f t="shared" si="6"/>
        <v>1480020.2407407407</v>
      </c>
      <c r="K33" s="70">
        <v>3348</v>
      </c>
      <c r="L33" s="71">
        <v>4955107766</v>
      </c>
      <c r="M33" s="167"/>
      <c r="N33" s="129"/>
      <c r="O33" s="69" t="s">
        <v>114</v>
      </c>
      <c r="P33" s="70">
        <v>0</v>
      </c>
      <c r="Q33" s="70">
        <v>0</v>
      </c>
      <c r="R33" s="70">
        <f t="shared" si="21"/>
        <v>0</v>
      </c>
      <c r="S33" s="70">
        <v>0</v>
      </c>
      <c r="T33" s="70">
        <v>0</v>
      </c>
      <c r="U33" s="70">
        <v>0</v>
      </c>
      <c r="V33" s="70">
        <v>0</v>
      </c>
      <c r="W33" s="70">
        <v>0</v>
      </c>
      <c r="X33" s="71">
        <v>0</v>
      </c>
      <c r="Y33" s="167"/>
      <c r="Z33" s="129"/>
      <c r="AA33" s="69" t="s">
        <v>114</v>
      </c>
      <c r="AB33" s="70">
        <v>0</v>
      </c>
      <c r="AC33" s="70">
        <f t="shared" si="22"/>
        <v>0</v>
      </c>
      <c r="AD33" s="70">
        <f t="shared" si="22"/>
        <v>0</v>
      </c>
      <c r="AE33" s="70">
        <v>0</v>
      </c>
      <c r="AF33" s="70">
        <v>0</v>
      </c>
      <c r="AG33" s="70">
        <v>0</v>
      </c>
      <c r="AH33" s="70">
        <v>0</v>
      </c>
      <c r="AI33" s="70">
        <v>0</v>
      </c>
      <c r="AJ33" s="71">
        <v>0</v>
      </c>
      <c r="AK33" s="167"/>
      <c r="AL33" s="129"/>
      <c r="AM33" s="69" t="s">
        <v>114</v>
      </c>
      <c r="AN33" s="70">
        <v>0</v>
      </c>
      <c r="AO33" s="70">
        <f t="shared" si="23"/>
        <v>0</v>
      </c>
      <c r="AP33" s="70">
        <f t="shared" si="23"/>
        <v>0</v>
      </c>
      <c r="AQ33" s="70">
        <v>0</v>
      </c>
      <c r="AR33" s="70">
        <v>0</v>
      </c>
      <c r="AS33" s="70">
        <v>0</v>
      </c>
      <c r="AT33" s="70">
        <v>0</v>
      </c>
      <c r="AU33" s="70">
        <v>0</v>
      </c>
      <c r="AV33" s="71">
        <v>0</v>
      </c>
    </row>
    <row r="34" spans="1:48" ht="28.9" customHeight="1">
      <c r="A34" s="167"/>
      <c r="B34" s="129"/>
      <c r="C34" s="69" t="s">
        <v>115</v>
      </c>
      <c r="D34" s="70">
        <f t="shared" si="4"/>
        <v>1421009.6343639072</v>
      </c>
      <c r="E34" s="70">
        <f t="shared" si="20"/>
        <v>54371</v>
      </c>
      <c r="F34" s="70">
        <f t="shared" si="20"/>
        <v>77261714830</v>
      </c>
      <c r="G34" s="70">
        <f t="shared" si="5"/>
        <v>1430047.7317795518</v>
      </c>
      <c r="H34" s="70">
        <v>23298</v>
      </c>
      <c r="I34" s="70">
        <v>33317252055</v>
      </c>
      <c r="J34" s="70">
        <f t="shared" si="6"/>
        <v>1414233.0246516268</v>
      </c>
      <c r="K34" s="70">
        <v>31073</v>
      </c>
      <c r="L34" s="71">
        <v>43944462775</v>
      </c>
      <c r="M34" s="167"/>
      <c r="N34" s="129"/>
      <c r="O34" s="69" t="s">
        <v>115</v>
      </c>
      <c r="P34" s="70">
        <v>0</v>
      </c>
      <c r="Q34" s="70">
        <v>0</v>
      </c>
      <c r="R34" s="70">
        <f t="shared" si="21"/>
        <v>0</v>
      </c>
      <c r="S34" s="70">
        <v>0</v>
      </c>
      <c r="T34" s="70">
        <v>0</v>
      </c>
      <c r="U34" s="70">
        <v>0</v>
      </c>
      <c r="V34" s="70">
        <v>0</v>
      </c>
      <c r="W34" s="70">
        <v>0</v>
      </c>
      <c r="X34" s="71">
        <v>0</v>
      </c>
      <c r="Y34" s="167"/>
      <c r="Z34" s="129"/>
      <c r="AA34" s="69" t="s">
        <v>115</v>
      </c>
      <c r="AB34" s="70">
        <v>0</v>
      </c>
      <c r="AC34" s="70">
        <f t="shared" si="22"/>
        <v>0</v>
      </c>
      <c r="AD34" s="70">
        <f t="shared" si="22"/>
        <v>0</v>
      </c>
      <c r="AE34" s="70">
        <v>0</v>
      </c>
      <c r="AF34" s="70">
        <v>0</v>
      </c>
      <c r="AG34" s="70">
        <v>0</v>
      </c>
      <c r="AH34" s="70">
        <v>0</v>
      </c>
      <c r="AI34" s="70">
        <v>0</v>
      </c>
      <c r="AJ34" s="71">
        <v>0</v>
      </c>
      <c r="AK34" s="167"/>
      <c r="AL34" s="129"/>
      <c r="AM34" s="69" t="s">
        <v>115</v>
      </c>
      <c r="AN34" s="70">
        <v>0</v>
      </c>
      <c r="AO34" s="70">
        <f t="shared" si="23"/>
        <v>0</v>
      </c>
      <c r="AP34" s="70">
        <f t="shared" si="23"/>
        <v>0</v>
      </c>
      <c r="AQ34" s="70">
        <v>0</v>
      </c>
      <c r="AR34" s="70">
        <v>0</v>
      </c>
      <c r="AS34" s="70">
        <v>0</v>
      </c>
      <c r="AT34" s="70">
        <v>0</v>
      </c>
      <c r="AU34" s="70">
        <v>0</v>
      </c>
      <c r="AV34" s="71">
        <v>0</v>
      </c>
    </row>
    <row r="35" spans="1:48" ht="28.9" customHeight="1">
      <c r="A35" s="167"/>
      <c r="B35" s="129"/>
      <c r="C35" s="69" t="s">
        <v>116</v>
      </c>
      <c r="D35" s="70">
        <f t="shared" si="4"/>
        <v>1123505.6545698924</v>
      </c>
      <c r="E35" s="70">
        <f t="shared" si="20"/>
        <v>37200</v>
      </c>
      <c r="F35" s="70">
        <f t="shared" si="20"/>
        <v>41794410350</v>
      </c>
      <c r="G35" s="70">
        <f t="shared" si="5"/>
        <v>1205807.2041175137</v>
      </c>
      <c r="H35" s="70">
        <v>17632</v>
      </c>
      <c r="I35" s="70">
        <v>21260792623</v>
      </c>
      <c r="J35" s="70">
        <f t="shared" si="6"/>
        <v>1049346.7767273099</v>
      </c>
      <c r="K35" s="70">
        <v>19568</v>
      </c>
      <c r="L35" s="71">
        <v>20533617727</v>
      </c>
      <c r="M35" s="167"/>
      <c r="N35" s="129"/>
      <c r="O35" s="69" t="s">
        <v>116</v>
      </c>
      <c r="P35" s="70">
        <f t="shared" ref="P35:P38" si="24">R35/Q35/12</f>
        <v>13981.99799354216</v>
      </c>
      <c r="Q35" s="70">
        <v>107207.17</v>
      </c>
      <c r="R35" s="70">
        <f t="shared" si="21"/>
        <v>17987645230</v>
      </c>
      <c r="S35" s="70">
        <f t="shared" ref="S35:S38" si="25">U35/T35/12</f>
        <v>14727.137567742962</v>
      </c>
      <c r="T35" s="70">
        <v>47557.83</v>
      </c>
      <c r="U35" s="70">
        <v>8404688458</v>
      </c>
      <c r="V35" s="70">
        <f t="shared" ref="V35:V38" si="26">X35/W35/12</f>
        <v>13387.907810531988</v>
      </c>
      <c r="W35" s="70">
        <v>59649.33</v>
      </c>
      <c r="X35" s="71">
        <v>9582956772</v>
      </c>
      <c r="Y35" s="167"/>
      <c r="Z35" s="129"/>
      <c r="AA35" s="69" t="s">
        <v>116</v>
      </c>
      <c r="AB35" s="70">
        <v>0</v>
      </c>
      <c r="AC35" s="70">
        <f t="shared" si="22"/>
        <v>0</v>
      </c>
      <c r="AD35" s="70">
        <f t="shared" si="22"/>
        <v>0</v>
      </c>
      <c r="AE35" s="70">
        <v>0</v>
      </c>
      <c r="AF35" s="70">
        <v>0</v>
      </c>
      <c r="AG35" s="70">
        <v>0</v>
      </c>
      <c r="AH35" s="70">
        <v>0</v>
      </c>
      <c r="AI35" s="70">
        <v>0</v>
      </c>
      <c r="AJ35" s="71">
        <v>0</v>
      </c>
      <c r="AK35" s="167"/>
      <c r="AL35" s="129"/>
      <c r="AM35" s="69" t="s">
        <v>116</v>
      </c>
      <c r="AN35" s="70">
        <f t="shared" si="13"/>
        <v>1176262.5175438595</v>
      </c>
      <c r="AO35" s="70">
        <f t="shared" si="23"/>
        <v>342</v>
      </c>
      <c r="AP35" s="70">
        <f t="shared" si="23"/>
        <v>402281781</v>
      </c>
      <c r="AQ35" s="70">
        <f t="shared" si="14"/>
        <v>1240261.2236842106</v>
      </c>
      <c r="AR35" s="70">
        <v>228</v>
      </c>
      <c r="AS35" s="70">
        <v>282779559</v>
      </c>
      <c r="AT35" s="70">
        <f t="shared" si="15"/>
        <v>1048265.1052631579</v>
      </c>
      <c r="AU35" s="70">
        <v>114</v>
      </c>
      <c r="AV35" s="71">
        <v>119502222</v>
      </c>
    </row>
    <row r="36" spans="1:48" ht="28.9" customHeight="1">
      <c r="A36" s="167"/>
      <c r="B36" s="129"/>
      <c r="C36" s="69" t="s">
        <v>117</v>
      </c>
      <c r="D36" s="70">
        <f t="shared" si="4"/>
        <v>1051658.7534120162</v>
      </c>
      <c r="E36" s="70">
        <f t="shared" si="20"/>
        <v>20589</v>
      </c>
      <c r="F36" s="70">
        <f t="shared" si="20"/>
        <v>21652602074</v>
      </c>
      <c r="G36" s="70">
        <f t="shared" si="5"/>
        <v>1069412.6411796832</v>
      </c>
      <c r="H36" s="70">
        <v>10986</v>
      </c>
      <c r="I36" s="70">
        <v>11748567276</v>
      </c>
      <c r="J36" s="70">
        <f t="shared" si="6"/>
        <v>1031347.9952098302</v>
      </c>
      <c r="K36" s="70">
        <v>9603</v>
      </c>
      <c r="L36" s="71">
        <v>9904034798</v>
      </c>
      <c r="M36" s="167"/>
      <c r="N36" s="129"/>
      <c r="O36" s="69" t="s">
        <v>117</v>
      </c>
      <c r="P36" s="70">
        <f t="shared" si="24"/>
        <v>16089.620531764538</v>
      </c>
      <c r="Q36" s="70">
        <v>198268.33</v>
      </c>
      <c r="R36" s="70">
        <f t="shared" si="21"/>
        <v>38280746318</v>
      </c>
      <c r="S36" s="70">
        <f t="shared" si="25"/>
        <v>17160.619117705661</v>
      </c>
      <c r="T36" s="70">
        <v>90255.67</v>
      </c>
      <c r="U36" s="70">
        <v>18586118113</v>
      </c>
      <c r="V36" s="70">
        <f t="shared" si="26"/>
        <v>15194.689818179046</v>
      </c>
      <c r="W36" s="70">
        <v>108012.67</v>
      </c>
      <c r="X36" s="71">
        <v>19694628205</v>
      </c>
      <c r="Y36" s="167"/>
      <c r="Z36" s="129"/>
      <c r="AA36" s="69" t="s">
        <v>117</v>
      </c>
      <c r="AB36" s="70">
        <f t="shared" si="10"/>
        <v>125457.21882016739</v>
      </c>
      <c r="AC36" s="70">
        <f t="shared" si="22"/>
        <v>14697</v>
      </c>
      <c r="AD36" s="70">
        <f t="shared" si="22"/>
        <v>1843844745</v>
      </c>
      <c r="AE36" s="70">
        <f t="shared" si="11"/>
        <v>153292.11097643097</v>
      </c>
      <c r="AF36" s="70">
        <v>7425</v>
      </c>
      <c r="AG36" s="70">
        <v>1138193924</v>
      </c>
      <c r="AH36" s="70">
        <f t="shared" si="12"/>
        <v>97036.691556655671</v>
      </c>
      <c r="AI36" s="70">
        <v>7272</v>
      </c>
      <c r="AJ36" s="71">
        <v>705650821</v>
      </c>
      <c r="AK36" s="167"/>
      <c r="AL36" s="129"/>
      <c r="AM36" s="69" t="s">
        <v>117</v>
      </c>
      <c r="AN36" s="70">
        <f t="shared" si="13"/>
        <v>1105499.1501272265</v>
      </c>
      <c r="AO36" s="70">
        <f t="shared" si="23"/>
        <v>786</v>
      </c>
      <c r="AP36" s="70">
        <f t="shared" si="23"/>
        <v>868922332</v>
      </c>
      <c r="AQ36" s="70">
        <f t="shared" si="14"/>
        <v>1137038.4058577407</v>
      </c>
      <c r="AR36" s="70">
        <v>478</v>
      </c>
      <c r="AS36" s="70">
        <v>543504358</v>
      </c>
      <c r="AT36" s="70">
        <f t="shared" si="15"/>
        <v>1056551.8636363635</v>
      </c>
      <c r="AU36" s="70">
        <v>308</v>
      </c>
      <c r="AV36" s="71">
        <v>325417974</v>
      </c>
    </row>
    <row r="37" spans="1:48" ht="28.9" customHeight="1">
      <c r="A37" s="168"/>
      <c r="B37" s="130"/>
      <c r="C37" s="69" t="s">
        <v>118</v>
      </c>
      <c r="D37" s="70">
        <f t="shared" si="4"/>
        <v>952194.22290613316</v>
      </c>
      <c r="E37" s="70">
        <f t="shared" si="20"/>
        <v>4549</v>
      </c>
      <c r="F37" s="70">
        <f t="shared" si="20"/>
        <v>4331531520</v>
      </c>
      <c r="G37" s="70">
        <f t="shared" si="5"/>
        <v>931765.37831603235</v>
      </c>
      <c r="H37" s="70">
        <v>2601</v>
      </c>
      <c r="I37" s="70">
        <v>2423521749</v>
      </c>
      <c r="J37" s="70">
        <f t="shared" si="6"/>
        <v>979471.13501026691</v>
      </c>
      <c r="K37" s="70">
        <v>1948</v>
      </c>
      <c r="L37" s="71">
        <v>1908009771</v>
      </c>
      <c r="M37" s="168"/>
      <c r="N37" s="130"/>
      <c r="O37" s="69" t="s">
        <v>118</v>
      </c>
      <c r="P37" s="70">
        <f t="shared" si="24"/>
        <v>15818.504743750649</v>
      </c>
      <c r="Q37" s="70">
        <v>105740.17</v>
      </c>
      <c r="R37" s="70">
        <f t="shared" si="21"/>
        <v>20071816569</v>
      </c>
      <c r="S37" s="70">
        <f t="shared" si="25"/>
        <v>16916.801146941852</v>
      </c>
      <c r="T37" s="70">
        <v>49639.25</v>
      </c>
      <c r="U37" s="70">
        <v>10076847856</v>
      </c>
      <c r="V37" s="70">
        <f t="shared" si="26"/>
        <v>14846.709455329195</v>
      </c>
      <c r="W37" s="70">
        <v>56100.92</v>
      </c>
      <c r="X37" s="71">
        <v>9994968713</v>
      </c>
      <c r="Y37" s="168"/>
      <c r="Z37" s="130"/>
      <c r="AA37" s="69" t="s">
        <v>118</v>
      </c>
      <c r="AB37" s="70">
        <f t="shared" si="10"/>
        <v>74040.90278266996</v>
      </c>
      <c r="AC37" s="70">
        <f t="shared" si="22"/>
        <v>2839</v>
      </c>
      <c r="AD37" s="70">
        <f t="shared" si="22"/>
        <v>210202123</v>
      </c>
      <c r="AE37" s="70">
        <f t="shared" si="11"/>
        <v>84654.031125827809</v>
      </c>
      <c r="AF37" s="70">
        <v>1510</v>
      </c>
      <c r="AG37" s="70">
        <v>127827587</v>
      </c>
      <c r="AH37" s="70">
        <f t="shared" si="12"/>
        <v>61982.34462001505</v>
      </c>
      <c r="AI37" s="70">
        <v>1329</v>
      </c>
      <c r="AJ37" s="71">
        <v>82374536</v>
      </c>
      <c r="AK37" s="168"/>
      <c r="AL37" s="130"/>
      <c r="AM37" s="69" t="s">
        <v>118</v>
      </c>
      <c r="AN37" s="70">
        <f t="shared" si="13"/>
        <v>797091.49251497001</v>
      </c>
      <c r="AO37" s="70">
        <f t="shared" si="23"/>
        <v>668</v>
      </c>
      <c r="AP37" s="70">
        <f t="shared" si="23"/>
        <v>532457117</v>
      </c>
      <c r="AQ37" s="70">
        <f t="shared" si="14"/>
        <v>809144.04522613063</v>
      </c>
      <c r="AR37" s="70">
        <v>398</v>
      </c>
      <c r="AS37" s="70">
        <v>322039330</v>
      </c>
      <c r="AT37" s="70">
        <f t="shared" si="15"/>
        <v>779325.13703703706</v>
      </c>
      <c r="AU37" s="70">
        <v>270</v>
      </c>
      <c r="AV37" s="71">
        <v>210417787</v>
      </c>
    </row>
    <row r="38" spans="1:48" ht="28.9" customHeight="1" thickBot="1">
      <c r="A38" s="169"/>
      <c r="B38" s="131"/>
      <c r="C38" s="73" t="s">
        <v>100</v>
      </c>
      <c r="D38" s="74">
        <f t="shared" si="4"/>
        <v>608607.20041322312</v>
      </c>
      <c r="E38" s="74">
        <f t="shared" si="20"/>
        <v>484</v>
      </c>
      <c r="F38" s="74">
        <f t="shared" si="20"/>
        <v>294565885</v>
      </c>
      <c r="G38" s="74">
        <f t="shared" si="5"/>
        <v>692994.74007220217</v>
      </c>
      <c r="H38" s="74">
        <v>277</v>
      </c>
      <c r="I38" s="74">
        <v>191959543</v>
      </c>
      <c r="J38" s="74">
        <f t="shared" si="6"/>
        <v>495682.81159420288</v>
      </c>
      <c r="K38" s="74">
        <v>207</v>
      </c>
      <c r="L38" s="75">
        <v>102606342</v>
      </c>
      <c r="M38" s="169"/>
      <c r="N38" s="131"/>
      <c r="O38" s="73" t="s">
        <v>100</v>
      </c>
      <c r="P38" s="74">
        <f t="shared" si="24"/>
        <v>11503.37223287869</v>
      </c>
      <c r="Q38" s="74">
        <v>28282.25</v>
      </c>
      <c r="R38" s="74">
        <f t="shared" si="21"/>
        <v>3904094992</v>
      </c>
      <c r="S38" s="74">
        <f t="shared" si="25"/>
        <v>12147.12482727142</v>
      </c>
      <c r="T38" s="74">
        <v>13327.75</v>
      </c>
      <c r="U38" s="74">
        <v>1942726115</v>
      </c>
      <c r="V38" s="74">
        <f t="shared" si="26"/>
        <v>10929.64702374982</v>
      </c>
      <c r="W38" s="74">
        <v>14954.5</v>
      </c>
      <c r="X38" s="75">
        <v>1961368877</v>
      </c>
      <c r="Y38" s="169"/>
      <c r="Z38" s="131"/>
      <c r="AA38" s="73" t="s">
        <v>100</v>
      </c>
      <c r="AB38" s="74">
        <f t="shared" si="10"/>
        <v>45912.439914163093</v>
      </c>
      <c r="AC38" s="74">
        <f t="shared" si="22"/>
        <v>1398</v>
      </c>
      <c r="AD38" s="74">
        <f t="shared" si="22"/>
        <v>64185591</v>
      </c>
      <c r="AE38" s="74">
        <f t="shared" si="11"/>
        <v>52612.060693641615</v>
      </c>
      <c r="AF38" s="74">
        <v>692</v>
      </c>
      <c r="AG38" s="74">
        <v>36407546</v>
      </c>
      <c r="AH38" s="74">
        <f t="shared" si="12"/>
        <v>39345.67280453258</v>
      </c>
      <c r="AI38" s="74">
        <v>706</v>
      </c>
      <c r="AJ38" s="75">
        <v>27778045</v>
      </c>
      <c r="AK38" s="169"/>
      <c r="AL38" s="131"/>
      <c r="AM38" s="73" t="s">
        <v>100</v>
      </c>
      <c r="AN38" s="74">
        <f t="shared" si="13"/>
        <v>292888.60944206011</v>
      </c>
      <c r="AO38" s="74">
        <f t="shared" si="23"/>
        <v>233</v>
      </c>
      <c r="AP38" s="74">
        <f t="shared" si="23"/>
        <v>68243046</v>
      </c>
      <c r="AQ38" s="74">
        <f t="shared" si="14"/>
        <v>330356.41269841272</v>
      </c>
      <c r="AR38" s="74">
        <v>126</v>
      </c>
      <c r="AS38" s="74">
        <v>41624908</v>
      </c>
      <c r="AT38" s="74">
        <f t="shared" si="15"/>
        <v>248767.6448598131</v>
      </c>
      <c r="AU38" s="74">
        <v>107</v>
      </c>
      <c r="AV38" s="75">
        <v>26618138</v>
      </c>
    </row>
    <row r="39" spans="1:48" s="77" customFormat="1" ht="176.45" customHeight="1">
      <c r="A39" s="132" t="s">
        <v>131</v>
      </c>
      <c r="B39" s="132"/>
      <c r="C39" s="132"/>
      <c r="D39" s="132"/>
      <c r="E39" s="132"/>
      <c r="F39" s="132"/>
      <c r="G39" s="132"/>
      <c r="H39" s="132"/>
      <c r="I39" s="132"/>
      <c r="J39" s="132"/>
      <c r="K39" s="132"/>
      <c r="L39" s="132"/>
      <c r="M39" s="132" t="s">
        <v>163</v>
      </c>
      <c r="N39" s="132"/>
      <c r="O39" s="132"/>
      <c r="P39" s="132"/>
      <c r="Q39" s="132"/>
      <c r="R39" s="132"/>
      <c r="S39" s="132"/>
      <c r="T39" s="132"/>
      <c r="U39" s="132"/>
      <c r="V39" s="132"/>
      <c r="W39" s="132"/>
      <c r="X39" s="132"/>
      <c r="Y39" s="132" t="s">
        <v>133</v>
      </c>
      <c r="Z39" s="132"/>
      <c r="AA39" s="132"/>
      <c r="AB39" s="132"/>
      <c r="AC39" s="132"/>
      <c r="AD39" s="132"/>
      <c r="AE39" s="132"/>
      <c r="AF39" s="132"/>
      <c r="AG39" s="132"/>
      <c r="AH39" s="132"/>
      <c r="AI39" s="132"/>
      <c r="AJ39" s="132"/>
      <c r="AK39" s="132" t="s">
        <v>126</v>
      </c>
      <c r="AL39" s="132"/>
      <c r="AM39" s="132"/>
      <c r="AN39" s="132"/>
      <c r="AO39" s="132"/>
      <c r="AP39" s="132"/>
      <c r="AQ39" s="132"/>
      <c r="AR39" s="132"/>
      <c r="AS39" s="132"/>
      <c r="AT39" s="132"/>
      <c r="AU39" s="132"/>
      <c r="AV39" s="132"/>
    </row>
  </sheetData>
  <mergeCells count="48">
    <mergeCell ref="AN3:AV3"/>
    <mergeCell ref="M3:M5"/>
    <mergeCell ref="N3:O5"/>
    <mergeCell ref="A1:L1"/>
    <mergeCell ref="Y1:AJ1"/>
    <mergeCell ref="AK1:AV1"/>
    <mergeCell ref="M1:X1"/>
    <mergeCell ref="A3:A5"/>
    <mergeCell ref="B3:C5"/>
    <mergeCell ref="D3:L3"/>
    <mergeCell ref="Y3:Y5"/>
    <mergeCell ref="Z3:AA5"/>
    <mergeCell ref="AB3:AJ3"/>
    <mergeCell ref="P3:X3"/>
    <mergeCell ref="AN4:AP4"/>
    <mergeCell ref="V4:X4"/>
    <mergeCell ref="AQ4:AS4"/>
    <mergeCell ref="AT4:AV4"/>
    <mergeCell ref="P4:R4"/>
    <mergeCell ref="A6:A28"/>
    <mergeCell ref="B6:B28"/>
    <mergeCell ref="Y6:Y28"/>
    <mergeCell ref="Z6:Z28"/>
    <mergeCell ref="AK6:AK28"/>
    <mergeCell ref="AL6:AL28"/>
    <mergeCell ref="M6:M28"/>
    <mergeCell ref="N6:N28"/>
    <mergeCell ref="D4:F4"/>
    <mergeCell ref="G4:I4"/>
    <mergeCell ref="J4:L4"/>
    <mergeCell ref="AB4:AD4"/>
    <mergeCell ref="AE4:AG4"/>
    <mergeCell ref="AH4:AJ4"/>
    <mergeCell ref="AL3:AM5"/>
    <mergeCell ref="S4:U4"/>
    <mergeCell ref="AK3:AK5"/>
    <mergeCell ref="M29:M38"/>
    <mergeCell ref="N29:N38"/>
    <mergeCell ref="A39:L39"/>
    <mergeCell ref="Y39:AJ39"/>
    <mergeCell ref="AK39:AV39"/>
    <mergeCell ref="M39:X39"/>
    <mergeCell ref="A29:A38"/>
    <mergeCell ref="B29:B38"/>
    <mergeCell ref="Y29:Y38"/>
    <mergeCell ref="Z29:Z38"/>
    <mergeCell ref="AK29:AK38"/>
    <mergeCell ref="AL29:AL38"/>
  </mergeCells>
  <phoneticPr fontId="14" type="noConversion"/>
  <printOptions horizontalCentered="1"/>
  <pageMargins left="0.15748031496062992" right="0.15748031496062992" top="0.59055118110236227" bottom="0.59055118110236227" header="0.51181102362204722" footer="0.31496062992125984"/>
  <pageSetup paperSize="9" orientation="portrait" r:id="rId1"/>
  <headerFooter alignWithMargins="0"/>
  <rowBreaks count="1" manualBreakCount="1">
    <brk id="28" max="16383" man="1"/>
  </rowBreaks>
  <colBreaks count="3" manualBreakCount="3">
    <brk id="24" max="1048575" man="1"/>
    <brk id="36" max="1048575" man="1"/>
    <brk id="12" max="1048575" man="1"/>
  </col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AV39"/>
  <sheetViews>
    <sheetView view="pageBreakPreview" zoomScale="80" zoomScaleNormal="90" zoomScaleSheetLayoutView="80" workbookViewId="0">
      <selection activeCell="A2" sqref="A2"/>
    </sheetView>
  </sheetViews>
  <sheetFormatPr defaultColWidth="9" defaultRowHeight="16.5"/>
  <cols>
    <col min="1" max="1" width="5.625" style="20" customWidth="1"/>
    <col min="2" max="2" width="3.5" style="20" customWidth="1"/>
    <col min="3" max="3" width="9.5" style="32" customWidth="1"/>
    <col min="4" max="4" width="8.25" style="19" customWidth="1"/>
    <col min="5" max="5" width="6.375" style="19" customWidth="1"/>
    <col min="6" max="6" width="12.75" style="19" customWidth="1"/>
    <col min="7" max="7" width="8.25" style="19" customWidth="1"/>
    <col min="8" max="8" width="6.25" style="19" customWidth="1"/>
    <col min="9" max="9" width="12" style="19" customWidth="1"/>
    <col min="10" max="10" width="8.25" style="19" customWidth="1"/>
    <col min="11" max="11" width="6.25" style="19" customWidth="1"/>
    <col min="12" max="12" width="12" style="19" customWidth="1"/>
    <col min="13" max="13" width="5.625" style="19" customWidth="1"/>
    <col min="14" max="14" width="3.5" style="19" customWidth="1"/>
    <col min="15" max="15" width="9.375" style="33" customWidth="1"/>
    <col min="16" max="16" width="6.75" style="19" customWidth="1"/>
    <col min="17" max="17" width="7.375" style="19" customWidth="1"/>
    <col min="18" max="18" width="12.5" style="19" customWidth="1"/>
    <col min="19" max="19" width="6.75" style="19" customWidth="1"/>
    <col min="20" max="20" width="7.375" style="19" customWidth="1"/>
    <col min="21" max="21" width="12.5" style="19" customWidth="1"/>
    <col min="22" max="22" width="6.75" style="19" customWidth="1"/>
    <col min="23" max="23" width="7.375" style="19" customWidth="1"/>
    <col min="24" max="24" width="12.5" style="19" customWidth="1"/>
    <col min="25" max="25" width="6.625" style="19" customWidth="1"/>
    <col min="26" max="26" width="4.625" style="19" customWidth="1"/>
    <col min="27" max="27" width="9.375" style="33" customWidth="1"/>
    <col min="28" max="28" width="7.5" style="19" customWidth="1"/>
    <col min="29" max="29" width="7.25" style="19" customWidth="1"/>
    <col min="30" max="30" width="10.75" style="19" customWidth="1"/>
    <col min="31" max="31" width="7.5" style="19" customWidth="1"/>
    <col min="32" max="32" width="7.25" style="19" customWidth="1"/>
    <col min="33" max="33" width="10.75" style="19" customWidth="1"/>
    <col min="34" max="34" width="7.5" style="19" customWidth="1"/>
    <col min="35" max="35" width="7.25" style="19" customWidth="1"/>
    <col min="36" max="36" width="10.75" style="19" customWidth="1"/>
    <col min="37" max="37" width="6.625" style="19" customWidth="1"/>
    <col min="38" max="38" width="4.625" style="19" customWidth="1"/>
    <col min="39" max="39" width="9.375" style="33" customWidth="1"/>
    <col min="40" max="40" width="8.5" style="19" customWidth="1"/>
    <col min="41" max="41" width="6.75" style="19" customWidth="1"/>
    <col min="42" max="42" width="10.75" style="19" customWidth="1"/>
    <col min="43" max="43" width="8.5" style="19" customWidth="1"/>
    <col min="44" max="44" width="6.75" style="19" customWidth="1"/>
    <col min="45" max="45" width="10.75" style="19" customWidth="1"/>
    <col min="46" max="46" width="8.5" style="19" customWidth="1"/>
    <col min="47" max="47" width="6.75" style="19" customWidth="1"/>
    <col min="48" max="48" width="10.75" style="19" customWidth="1"/>
    <col min="49" max="16384" width="9" style="19"/>
  </cols>
  <sheetData>
    <row r="1" spans="1:48" ht="24" customHeight="1">
      <c r="A1" s="174" t="s">
        <v>121</v>
      </c>
      <c r="B1" s="175"/>
      <c r="C1" s="175"/>
      <c r="D1" s="175"/>
      <c r="E1" s="175"/>
      <c r="F1" s="175"/>
      <c r="G1" s="175"/>
      <c r="H1" s="175"/>
      <c r="I1" s="175"/>
      <c r="J1" s="175"/>
      <c r="K1" s="175"/>
      <c r="L1" s="175"/>
      <c r="M1" s="174" t="s">
        <v>119</v>
      </c>
      <c r="N1" s="175"/>
      <c r="O1" s="175"/>
      <c r="P1" s="175"/>
      <c r="Q1" s="175"/>
      <c r="R1" s="175"/>
      <c r="S1" s="175"/>
      <c r="T1" s="175"/>
      <c r="U1" s="175"/>
      <c r="V1" s="175"/>
      <c r="W1" s="175"/>
      <c r="X1" s="175"/>
      <c r="Y1" s="174" t="s">
        <v>123</v>
      </c>
      <c r="Z1" s="175"/>
      <c r="AA1" s="175"/>
      <c r="AB1" s="175"/>
      <c r="AC1" s="175"/>
      <c r="AD1" s="175"/>
      <c r="AE1" s="175"/>
      <c r="AF1" s="175"/>
      <c r="AG1" s="175"/>
      <c r="AH1" s="175"/>
      <c r="AI1" s="175"/>
      <c r="AJ1" s="175"/>
      <c r="AK1" s="174" t="s">
        <v>122</v>
      </c>
      <c r="AL1" s="175"/>
      <c r="AM1" s="175"/>
      <c r="AN1" s="175"/>
      <c r="AO1" s="175"/>
      <c r="AP1" s="175"/>
      <c r="AQ1" s="175"/>
      <c r="AR1" s="175"/>
      <c r="AS1" s="175"/>
      <c r="AT1" s="175"/>
      <c r="AU1" s="175"/>
      <c r="AV1" s="175"/>
    </row>
    <row r="2" spans="1:48" ht="18" customHeight="1" thickBot="1"/>
    <row r="3" spans="1:48" s="21" customFormat="1" ht="27" customHeight="1">
      <c r="A3" s="135" t="s">
        <v>62</v>
      </c>
      <c r="B3" s="141" t="s">
        <v>52</v>
      </c>
      <c r="C3" s="142"/>
      <c r="D3" s="137" t="s">
        <v>55</v>
      </c>
      <c r="E3" s="137"/>
      <c r="F3" s="138"/>
      <c r="G3" s="138"/>
      <c r="H3" s="138"/>
      <c r="I3" s="138"/>
      <c r="J3" s="138"/>
      <c r="K3" s="139"/>
      <c r="L3" s="140"/>
      <c r="M3" s="135" t="s">
        <v>62</v>
      </c>
      <c r="N3" s="141" t="s">
        <v>52</v>
      </c>
      <c r="O3" s="142"/>
      <c r="P3" s="137" t="str">
        <f>D3</f>
        <v>101年</v>
      </c>
      <c r="Q3" s="137"/>
      <c r="R3" s="138"/>
      <c r="S3" s="138"/>
      <c r="T3" s="138"/>
      <c r="U3" s="138"/>
      <c r="V3" s="138"/>
      <c r="W3" s="139"/>
      <c r="X3" s="140"/>
      <c r="Y3" s="135" t="s">
        <v>62</v>
      </c>
      <c r="Z3" s="141" t="s">
        <v>52</v>
      </c>
      <c r="AA3" s="142"/>
      <c r="AB3" s="137" t="str">
        <f>D3</f>
        <v>101年</v>
      </c>
      <c r="AC3" s="137"/>
      <c r="AD3" s="138"/>
      <c r="AE3" s="138"/>
      <c r="AF3" s="138"/>
      <c r="AG3" s="138"/>
      <c r="AH3" s="138"/>
      <c r="AI3" s="139"/>
      <c r="AJ3" s="140"/>
      <c r="AK3" s="135" t="s">
        <v>62</v>
      </c>
      <c r="AL3" s="141" t="s">
        <v>52</v>
      </c>
      <c r="AM3" s="142"/>
      <c r="AN3" s="137" t="str">
        <f>D3</f>
        <v>101年</v>
      </c>
      <c r="AO3" s="137"/>
      <c r="AP3" s="138"/>
      <c r="AQ3" s="138"/>
      <c r="AR3" s="138"/>
      <c r="AS3" s="138"/>
      <c r="AT3" s="138"/>
      <c r="AU3" s="139"/>
      <c r="AV3" s="140"/>
    </row>
    <row r="4" spans="1:48" s="21" customFormat="1" ht="27" customHeight="1">
      <c r="A4" s="136"/>
      <c r="B4" s="143"/>
      <c r="C4" s="144"/>
      <c r="D4" s="134" t="s">
        <v>12</v>
      </c>
      <c r="E4" s="134"/>
      <c r="F4" s="134"/>
      <c r="G4" s="134" t="s">
        <v>13</v>
      </c>
      <c r="H4" s="134"/>
      <c r="I4" s="134"/>
      <c r="J4" s="134" t="s">
        <v>14</v>
      </c>
      <c r="K4" s="147"/>
      <c r="L4" s="148"/>
      <c r="M4" s="136"/>
      <c r="N4" s="143"/>
      <c r="O4" s="144"/>
      <c r="P4" s="134" t="s">
        <v>12</v>
      </c>
      <c r="Q4" s="134"/>
      <c r="R4" s="134"/>
      <c r="S4" s="134" t="s">
        <v>13</v>
      </c>
      <c r="T4" s="134"/>
      <c r="U4" s="134"/>
      <c r="V4" s="134" t="s">
        <v>14</v>
      </c>
      <c r="W4" s="147"/>
      <c r="X4" s="148"/>
      <c r="Y4" s="136"/>
      <c r="Z4" s="143"/>
      <c r="AA4" s="144"/>
      <c r="AB4" s="134" t="s">
        <v>12</v>
      </c>
      <c r="AC4" s="134"/>
      <c r="AD4" s="134"/>
      <c r="AE4" s="134" t="s">
        <v>13</v>
      </c>
      <c r="AF4" s="134"/>
      <c r="AG4" s="134"/>
      <c r="AH4" s="134" t="s">
        <v>14</v>
      </c>
      <c r="AI4" s="147"/>
      <c r="AJ4" s="148"/>
      <c r="AK4" s="136"/>
      <c r="AL4" s="143"/>
      <c r="AM4" s="144"/>
      <c r="AN4" s="134" t="s">
        <v>12</v>
      </c>
      <c r="AO4" s="134"/>
      <c r="AP4" s="134"/>
      <c r="AQ4" s="134" t="s">
        <v>13</v>
      </c>
      <c r="AR4" s="134"/>
      <c r="AS4" s="134"/>
      <c r="AT4" s="134" t="s">
        <v>14</v>
      </c>
      <c r="AU4" s="147"/>
      <c r="AV4" s="148"/>
    </row>
    <row r="5" spans="1:48" ht="49.5">
      <c r="A5" s="136"/>
      <c r="B5" s="145"/>
      <c r="C5" s="146"/>
      <c r="D5" s="38" t="s">
        <v>124</v>
      </c>
      <c r="E5" s="39" t="s">
        <v>15</v>
      </c>
      <c r="F5" s="39" t="s">
        <v>16</v>
      </c>
      <c r="G5" s="38" t="s">
        <v>124</v>
      </c>
      <c r="H5" s="39" t="s">
        <v>15</v>
      </c>
      <c r="I5" s="39" t="s">
        <v>16</v>
      </c>
      <c r="J5" s="38" t="s">
        <v>124</v>
      </c>
      <c r="K5" s="39" t="s">
        <v>15</v>
      </c>
      <c r="L5" s="40" t="s">
        <v>16</v>
      </c>
      <c r="M5" s="136"/>
      <c r="N5" s="145"/>
      <c r="O5" s="146"/>
      <c r="P5" s="38" t="s">
        <v>167</v>
      </c>
      <c r="Q5" s="83" t="s">
        <v>158</v>
      </c>
      <c r="R5" s="39" t="s">
        <v>16</v>
      </c>
      <c r="S5" s="38" t="s">
        <v>166</v>
      </c>
      <c r="T5" s="83" t="s">
        <v>158</v>
      </c>
      <c r="U5" s="39" t="s">
        <v>16</v>
      </c>
      <c r="V5" s="38" t="s">
        <v>167</v>
      </c>
      <c r="W5" s="83" t="s">
        <v>158</v>
      </c>
      <c r="X5" s="40" t="s">
        <v>16</v>
      </c>
      <c r="Y5" s="136"/>
      <c r="Z5" s="145"/>
      <c r="AA5" s="146"/>
      <c r="AB5" s="38" t="s">
        <v>124</v>
      </c>
      <c r="AC5" s="39" t="s">
        <v>15</v>
      </c>
      <c r="AD5" s="39" t="s">
        <v>16</v>
      </c>
      <c r="AE5" s="38" t="s">
        <v>124</v>
      </c>
      <c r="AF5" s="39" t="s">
        <v>15</v>
      </c>
      <c r="AG5" s="39" t="s">
        <v>16</v>
      </c>
      <c r="AH5" s="38" t="s">
        <v>124</v>
      </c>
      <c r="AI5" s="39" t="s">
        <v>15</v>
      </c>
      <c r="AJ5" s="40" t="s">
        <v>16</v>
      </c>
      <c r="AK5" s="136"/>
      <c r="AL5" s="145"/>
      <c r="AM5" s="146"/>
      <c r="AN5" s="38" t="s">
        <v>124</v>
      </c>
      <c r="AO5" s="39" t="s">
        <v>15</v>
      </c>
      <c r="AP5" s="39" t="s">
        <v>16</v>
      </c>
      <c r="AQ5" s="38" t="s">
        <v>124</v>
      </c>
      <c r="AR5" s="39" t="s">
        <v>15</v>
      </c>
      <c r="AS5" s="39" t="s">
        <v>16</v>
      </c>
      <c r="AT5" s="38" t="s">
        <v>124</v>
      </c>
      <c r="AU5" s="39" t="s">
        <v>15</v>
      </c>
      <c r="AV5" s="40" t="s">
        <v>16</v>
      </c>
    </row>
    <row r="6" spans="1:48" ht="24" customHeight="1">
      <c r="A6" s="180" t="s">
        <v>145</v>
      </c>
      <c r="B6" s="153" t="s">
        <v>17</v>
      </c>
      <c r="C6" s="41" t="s">
        <v>76</v>
      </c>
      <c r="D6" s="42">
        <f>F6/E6</f>
        <v>1274427.1440169716</v>
      </c>
      <c r="E6" s="42">
        <f>SUM(E7:E28)</f>
        <v>136227</v>
      </c>
      <c r="F6" s="42">
        <f>SUM(F7:F28)</f>
        <v>173611386548</v>
      </c>
      <c r="G6" s="42">
        <f>I6/H6</f>
        <v>1293792.3362282277</v>
      </c>
      <c r="H6" s="42">
        <f t="shared" ref="H6:L6" si="0">SUM(H7:H28)</f>
        <v>61833</v>
      </c>
      <c r="I6" s="42">
        <f t="shared" si="0"/>
        <v>79999061526</v>
      </c>
      <c r="J6" s="42">
        <f>L6/K6</f>
        <v>1258331.6533860257</v>
      </c>
      <c r="K6" s="42">
        <f t="shared" ref="K6" si="1">SUM(K7:K28)</f>
        <v>74394</v>
      </c>
      <c r="L6" s="43">
        <f t="shared" si="0"/>
        <v>93612325022</v>
      </c>
      <c r="M6" s="180" t="s">
        <v>146</v>
      </c>
      <c r="N6" s="153" t="s">
        <v>17</v>
      </c>
      <c r="O6" s="41" t="s">
        <v>76</v>
      </c>
      <c r="P6" s="42">
        <f>R6/Q6/12</f>
        <v>14548.187107041887</v>
      </c>
      <c r="Q6" s="42">
        <v>244908.42</v>
      </c>
      <c r="R6" s="42">
        <f>U6+X6</f>
        <v>42755682219</v>
      </c>
      <c r="S6" s="42">
        <f>U6/T6/12</f>
        <v>15577.706342598321</v>
      </c>
      <c r="T6" s="42">
        <v>119203.25</v>
      </c>
      <c r="U6" s="42">
        <f>SUM(U7:U28)+(-128493)</f>
        <v>22282958683</v>
      </c>
      <c r="V6" s="42">
        <f>X6/W6/12</f>
        <v>13571.918280422886</v>
      </c>
      <c r="W6" s="42">
        <v>125705.17</v>
      </c>
      <c r="X6" s="43">
        <f>SUM(X7:X28)+(-339452)</f>
        <v>20472723536</v>
      </c>
      <c r="Y6" s="180" t="s">
        <v>150</v>
      </c>
      <c r="Z6" s="153" t="s">
        <v>17</v>
      </c>
      <c r="AA6" s="41" t="s">
        <v>76</v>
      </c>
      <c r="AB6" s="42">
        <f>AD6/AC6</f>
        <v>100756.13989560764</v>
      </c>
      <c r="AC6" s="42">
        <f>AF6+AI6</f>
        <v>20308</v>
      </c>
      <c r="AD6" s="42">
        <f>AG6+AJ6</f>
        <v>2046155689</v>
      </c>
      <c r="AE6" s="42">
        <f>AG6/AF6</f>
        <v>122904.9510795565</v>
      </c>
      <c r="AF6" s="42">
        <f>SUM(AF7:AF28)+(3)</f>
        <v>10282</v>
      </c>
      <c r="AG6" s="42">
        <f>SUM(AG7:AG28)+(60261)</f>
        <v>1263708707</v>
      </c>
      <c r="AH6" s="42">
        <f>AJ6/AI6</f>
        <v>78041.789547177337</v>
      </c>
      <c r="AI6" s="42">
        <f>SUM(AI7:AI28)+(5)</f>
        <v>10026</v>
      </c>
      <c r="AJ6" s="43">
        <f>SUM(AJ7:AJ28)+(21716)</f>
        <v>782446982</v>
      </c>
      <c r="AK6" s="180" t="s">
        <v>152</v>
      </c>
      <c r="AL6" s="153" t="s">
        <v>17</v>
      </c>
      <c r="AM6" s="41" t="s">
        <v>76</v>
      </c>
      <c r="AN6" s="42">
        <f>AP6/AO6</f>
        <v>881859.07148530579</v>
      </c>
      <c r="AO6" s="42">
        <f>SUM(AO7:AO28)</f>
        <v>1259</v>
      </c>
      <c r="AP6" s="42">
        <f>SUM(AP7:AP28)</f>
        <v>1110260571</v>
      </c>
      <c r="AQ6" s="42">
        <f>AS6/AR6</f>
        <v>950323.15724815719</v>
      </c>
      <c r="AR6" s="42">
        <f t="shared" ref="AR6:AS6" si="2">SUM(AR7:AR28)</f>
        <v>814</v>
      </c>
      <c r="AS6" s="42">
        <f t="shared" si="2"/>
        <v>773563050</v>
      </c>
      <c r="AT6" s="42">
        <f>AV6/AU6</f>
        <v>756623.64269662916</v>
      </c>
      <c r="AU6" s="42">
        <f t="shared" ref="AU6:AV6" si="3">SUM(AU7:AU28)</f>
        <v>445</v>
      </c>
      <c r="AV6" s="43">
        <f t="shared" si="3"/>
        <v>336697521</v>
      </c>
    </row>
    <row r="7" spans="1:48" ht="24" customHeight="1">
      <c r="A7" s="181"/>
      <c r="B7" s="154"/>
      <c r="C7" s="41" t="s">
        <v>95</v>
      </c>
      <c r="D7" s="42">
        <f t="shared" ref="D7:D38" si="4">F7/E7</f>
        <v>1332493.5578517837</v>
      </c>
      <c r="E7" s="42">
        <f>H7+K7</f>
        <v>22791</v>
      </c>
      <c r="F7" s="42">
        <f>I7+L7</f>
        <v>30368860677</v>
      </c>
      <c r="G7" s="42">
        <f t="shared" ref="G7:G38" si="5">I7/H7</f>
        <v>1352949.4914820285</v>
      </c>
      <c r="H7" s="42">
        <v>10155</v>
      </c>
      <c r="I7" s="42">
        <v>13739202086</v>
      </c>
      <c r="J7" s="42">
        <f t="shared" ref="J7:J38" si="6">L7/K7</f>
        <v>1316054.0195473251</v>
      </c>
      <c r="K7" s="42">
        <v>12636</v>
      </c>
      <c r="L7" s="43">
        <v>16629658591</v>
      </c>
      <c r="M7" s="181"/>
      <c r="N7" s="154"/>
      <c r="O7" s="41" t="s">
        <v>95</v>
      </c>
      <c r="P7" s="42">
        <f t="shared" ref="P7:P28" si="7">R7/Q7/12</f>
        <v>14810.389289063385</v>
      </c>
      <c r="Q7" s="42">
        <v>32347</v>
      </c>
      <c r="R7" s="42">
        <f>U7+X7</f>
        <v>5748859948</v>
      </c>
      <c r="S7" s="42">
        <f t="shared" ref="S7:S28" si="8">U7/T7/12</f>
        <v>15703.919126435414</v>
      </c>
      <c r="T7" s="42">
        <v>15804.67</v>
      </c>
      <c r="U7" s="42">
        <v>2978343114</v>
      </c>
      <c r="V7" s="42">
        <f t="shared" ref="V7:V28" si="9">X7/W7/12</f>
        <v>13956.703972979218</v>
      </c>
      <c r="W7" s="42">
        <v>16542.330000000002</v>
      </c>
      <c r="X7" s="43">
        <v>2770516834</v>
      </c>
      <c r="Y7" s="181"/>
      <c r="Z7" s="154"/>
      <c r="AA7" s="41" t="s">
        <v>95</v>
      </c>
      <c r="AB7" s="42">
        <f t="shared" ref="AB7:AB38" si="10">AD7/AC7</f>
        <v>107971.12962284878</v>
      </c>
      <c r="AC7" s="42">
        <f>AF7+AI7</f>
        <v>2731</v>
      </c>
      <c r="AD7" s="42">
        <f>AG7+AJ7</f>
        <v>294869155</v>
      </c>
      <c r="AE7" s="42">
        <f t="shared" ref="AE7:AE38" si="11">AG7/AF7</f>
        <v>131751.53796561604</v>
      </c>
      <c r="AF7" s="42">
        <v>1396</v>
      </c>
      <c r="AG7" s="42">
        <v>183925147</v>
      </c>
      <c r="AH7" s="42">
        <f t="shared" ref="AH7:AH38" si="12">AJ7/AI7</f>
        <v>83104.125842696623</v>
      </c>
      <c r="AI7" s="42">
        <v>1335</v>
      </c>
      <c r="AJ7" s="43">
        <v>110944008</v>
      </c>
      <c r="AK7" s="181"/>
      <c r="AL7" s="154"/>
      <c r="AM7" s="41" t="s">
        <v>95</v>
      </c>
      <c r="AN7" s="42">
        <f t="shared" ref="AN7:AN38" si="13">AP7/AO7</f>
        <v>899956.55279503111</v>
      </c>
      <c r="AO7" s="42">
        <f>AR7+AU7</f>
        <v>161</v>
      </c>
      <c r="AP7" s="42">
        <f>AS7+AV7</f>
        <v>144893005</v>
      </c>
      <c r="AQ7" s="42">
        <f t="shared" ref="AQ7:AQ38" si="14">AS7/AR7</f>
        <v>922823.5045045045</v>
      </c>
      <c r="AR7" s="42">
        <v>111</v>
      </c>
      <c r="AS7" s="42">
        <v>102433409</v>
      </c>
      <c r="AT7" s="42">
        <f t="shared" ref="AT7:AT38" si="15">AV7/AU7</f>
        <v>849191.92</v>
      </c>
      <c r="AU7" s="42">
        <v>50</v>
      </c>
      <c r="AV7" s="43">
        <v>42459596</v>
      </c>
    </row>
    <row r="8" spans="1:48" ht="24" customHeight="1">
      <c r="A8" s="181"/>
      <c r="B8" s="154"/>
      <c r="C8" s="41" t="s">
        <v>96</v>
      </c>
      <c r="D8" s="42">
        <f t="shared" si="4"/>
        <v>1276797.4398386476</v>
      </c>
      <c r="E8" s="42">
        <f t="shared" ref="E8:F28" si="16">H8+K8</f>
        <v>26030</v>
      </c>
      <c r="F8" s="42">
        <f t="shared" si="16"/>
        <v>33235037359</v>
      </c>
      <c r="G8" s="42">
        <f t="shared" si="5"/>
        <v>1281995.0817761167</v>
      </c>
      <c r="H8" s="42">
        <v>11238</v>
      </c>
      <c r="I8" s="42">
        <v>14407060729</v>
      </c>
      <c r="J8" s="42">
        <f t="shared" si="6"/>
        <v>1272848.6093834506</v>
      </c>
      <c r="K8" s="42">
        <v>14792</v>
      </c>
      <c r="L8" s="43">
        <v>18827976630</v>
      </c>
      <c r="M8" s="181"/>
      <c r="N8" s="154"/>
      <c r="O8" s="41" t="s">
        <v>96</v>
      </c>
      <c r="P8" s="42">
        <f t="shared" si="7"/>
        <v>14741.725063845231</v>
      </c>
      <c r="Q8" s="42">
        <v>51532.17</v>
      </c>
      <c r="R8" s="42">
        <f t="shared" ref="R8:R28" si="17">U8+X8</f>
        <v>9116076985</v>
      </c>
      <c r="S8" s="42">
        <f t="shared" si="8"/>
        <v>15727.836739319655</v>
      </c>
      <c r="T8" s="42">
        <v>25941.58</v>
      </c>
      <c r="U8" s="42">
        <v>4896059220</v>
      </c>
      <c r="V8" s="42">
        <f t="shared" si="9"/>
        <v>13742.093656467861</v>
      </c>
      <c r="W8" s="42">
        <v>25590.58</v>
      </c>
      <c r="X8" s="43">
        <v>4220017765</v>
      </c>
      <c r="Y8" s="181"/>
      <c r="Z8" s="154"/>
      <c r="AA8" s="41" t="s">
        <v>96</v>
      </c>
      <c r="AB8" s="42">
        <f t="shared" si="10"/>
        <v>110991.49457659372</v>
      </c>
      <c r="AC8" s="42">
        <f t="shared" ref="AC8:AD28" si="18">AF8+AI8</f>
        <v>5255</v>
      </c>
      <c r="AD8" s="42">
        <f t="shared" si="18"/>
        <v>583260304</v>
      </c>
      <c r="AE8" s="42">
        <f t="shared" si="11"/>
        <v>131336.04706790124</v>
      </c>
      <c r="AF8" s="42">
        <v>2592</v>
      </c>
      <c r="AG8" s="42">
        <v>340423034</v>
      </c>
      <c r="AH8" s="42">
        <f t="shared" si="12"/>
        <v>91189.361622230572</v>
      </c>
      <c r="AI8" s="42">
        <v>2663</v>
      </c>
      <c r="AJ8" s="43">
        <v>242837270</v>
      </c>
      <c r="AK8" s="181"/>
      <c r="AL8" s="154"/>
      <c r="AM8" s="41" t="s">
        <v>96</v>
      </c>
      <c r="AN8" s="42">
        <f t="shared" si="13"/>
        <v>981737.27804878051</v>
      </c>
      <c r="AO8" s="42">
        <f t="shared" ref="AO8:AP28" si="19">AR8+AU8</f>
        <v>205</v>
      </c>
      <c r="AP8" s="42">
        <f t="shared" si="19"/>
        <v>201256142</v>
      </c>
      <c r="AQ8" s="42">
        <f t="shared" si="14"/>
        <v>1059932.7342657342</v>
      </c>
      <c r="AR8" s="42">
        <v>143</v>
      </c>
      <c r="AS8" s="42">
        <v>151570381</v>
      </c>
      <c r="AT8" s="42">
        <f t="shared" si="15"/>
        <v>801383.24193548388</v>
      </c>
      <c r="AU8" s="42">
        <v>62</v>
      </c>
      <c r="AV8" s="43">
        <v>49685761</v>
      </c>
    </row>
    <row r="9" spans="1:48" ht="24" customHeight="1">
      <c r="A9" s="181"/>
      <c r="B9" s="154"/>
      <c r="C9" s="41" t="s">
        <v>97</v>
      </c>
      <c r="D9" s="42">
        <f t="shared" si="4"/>
        <v>1211392.2578660988</v>
      </c>
      <c r="E9" s="42">
        <f t="shared" si="16"/>
        <v>12681</v>
      </c>
      <c r="F9" s="42">
        <f t="shared" si="16"/>
        <v>15361665222</v>
      </c>
      <c r="G9" s="42">
        <f t="shared" si="5"/>
        <v>1264900.0275273663</v>
      </c>
      <c r="H9" s="42">
        <v>6212</v>
      </c>
      <c r="I9" s="42">
        <v>7857558971</v>
      </c>
      <c r="J9" s="42">
        <f t="shared" si="6"/>
        <v>1160010.241304684</v>
      </c>
      <c r="K9" s="42">
        <v>6469</v>
      </c>
      <c r="L9" s="43">
        <v>7504106251</v>
      </c>
      <c r="M9" s="181"/>
      <c r="N9" s="154"/>
      <c r="O9" s="41" t="s">
        <v>97</v>
      </c>
      <c r="P9" s="42">
        <f t="shared" si="7"/>
        <v>13668.522667395546</v>
      </c>
      <c r="Q9" s="42">
        <v>21951.5</v>
      </c>
      <c r="R9" s="42">
        <f t="shared" si="17"/>
        <v>3600534904</v>
      </c>
      <c r="S9" s="42">
        <f t="shared" si="8"/>
        <v>14792.083815844393</v>
      </c>
      <c r="T9" s="42">
        <v>11683.67</v>
      </c>
      <c r="U9" s="42">
        <v>2073909911</v>
      </c>
      <c r="V9" s="42">
        <f t="shared" si="9"/>
        <v>12390.032695970489</v>
      </c>
      <c r="W9" s="42">
        <v>10267.83</v>
      </c>
      <c r="X9" s="43">
        <v>1526624993</v>
      </c>
      <c r="Y9" s="181"/>
      <c r="Z9" s="154"/>
      <c r="AA9" s="41" t="s">
        <v>97</v>
      </c>
      <c r="AB9" s="42">
        <f t="shared" si="10"/>
        <v>95292.973431734325</v>
      </c>
      <c r="AC9" s="42">
        <f t="shared" si="18"/>
        <v>2710</v>
      </c>
      <c r="AD9" s="42">
        <f t="shared" si="18"/>
        <v>258243958</v>
      </c>
      <c r="AE9" s="42">
        <f t="shared" si="11"/>
        <v>117307.0311804009</v>
      </c>
      <c r="AF9" s="42">
        <v>1347</v>
      </c>
      <c r="AG9" s="42">
        <v>158012571</v>
      </c>
      <c r="AH9" s="42">
        <f t="shared" si="12"/>
        <v>73537.334556126196</v>
      </c>
      <c r="AI9" s="42">
        <v>1363</v>
      </c>
      <c r="AJ9" s="43">
        <v>100231387</v>
      </c>
      <c r="AK9" s="181"/>
      <c r="AL9" s="154"/>
      <c r="AM9" s="41" t="s">
        <v>97</v>
      </c>
      <c r="AN9" s="42">
        <f t="shared" si="13"/>
        <v>784926.75454545452</v>
      </c>
      <c r="AO9" s="42">
        <f t="shared" si="19"/>
        <v>110</v>
      </c>
      <c r="AP9" s="42">
        <f t="shared" si="19"/>
        <v>86341943</v>
      </c>
      <c r="AQ9" s="42">
        <f t="shared" si="14"/>
        <v>835303.5797101449</v>
      </c>
      <c r="AR9" s="42">
        <v>69</v>
      </c>
      <c r="AS9" s="42">
        <v>57635947</v>
      </c>
      <c r="AT9" s="42">
        <f t="shared" si="15"/>
        <v>700146.24390243902</v>
      </c>
      <c r="AU9" s="42">
        <v>41</v>
      </c>
      <c r="AV9" s="43">
        <v>28705996</v>
      </c>
    </row>
    <row r="10" spans="1:48" ht="24" customHeight="1">
      <c r="A10" s="181"/>
      <c r="B10" s="154"/>
      <c r="C10" s="41" t="s">
        <v>98</v>
      </c>
      <c r="D10" s="42">
        <f t="shared" si="4"/>
        <v>1122306.970584895</v>
      </c>
      <c r="E10" s="42">
        <f t="shared" si="16"/>
        <v>8805</v>
      </c>
      <c r="F10" s="42">
        <f t="shared" si="16"/>
        <v>9881912876</v>
      </c>
      <c r="G10" s="42">
        <f t="shared" si="5"/>
        <v>1166055.7521106941</v>
      </c>
      <c r="H10" s="42">
        <v>4264</v>
      </c>
      <c r="I10" s="42">
        <v>4972061727</v>
      </c>
      <c r="J10" s="42">
        <f t="shared" si="6"/>
        <v>1081226.8550979961</v>
      </c>
      <c r="K10" s="42">
        <v>4541</v>
      </c>
      <c r="L10" s="43">
        <v>4909851149</v>
      </c>
      <c r="M10" s="181"/>
      <c r="N10" s="154"/>
      <c r="O10" s="41" t="s">
        <v>98</v>
      </c>
      <c r="P10" s="42">
        <f t="shared" si="7"/>
        <v>13276.673941669091</v>
      </c>
      <c r="Q10" s="42">
        <v>17725.080000000002</v>
      </c>
      <c r="R10" s="42">
        <f t="shared" si="17"/>
        <v>2823961293</v>
      </c>
      <c r="S10" s="42">
        <f t="shared" si="8"/>
        <v>14489.315617431288</v>
      </c>
      <c r="T10" s="42">
        <v>8919.67</v>
      </c>
      <c r="U10" s="42">
        <v>1550878966</v>
      </c>
      <c r="V10" s="42">
        <f t="shared" si="9"/>
        <v>12048.283207009621</v>
      </c>
      <c r="W10" s="42">
        <v>8805.42</v>
      </c>
      <c r="X10" s="43">
        <v>1273082327</v>
      </c>
      <c r="Y10" s="181"/>
      <c r="Z10" s="154"/>
      <c r="AA10" s="41" t="s">
        <v>98</v>
      </c>
      <c r="AB10" s="42">
        <f t="shared" si="10"/>
        <v>93475.185274592644</v>
      </c>
      <c r="AC10" s="42">
        <f t="shared" si="18"/>
        <v>1657</v>
      </c>
      <c r="AD10" s="42">
        <f t="shared" si="18"/>
        <v>154888382</v>
      </c>
      <c r="AE10" s="42">
        <f t="shared" si="11"/>
        <v>112065.02113459399</v>
      </c>
      <c r="AF10" s="42">
        <v>899</v>
      </c>
      <c r="AG10" s="42">
        <v>100746454</v>
      </c>
      <c r="AH10" s="42">
        <f t="shared" si="12"/>
        <v>71427.345646438</v>
      </c>
      <c r="AI10" s="42">
        <v>758</v>
      </c>
      <c r="AJ10" s="43">
        <v>54141928</v>
      </c>
      <c r="AK10" s="181"/>
      <c r="AL10" s="154"/>
      <c r="AM10" s="41" t="s">
        <v>98</v>
      </c>
      <c r="AN10" s="42">
        <f t="shared" si="13"/>
        <v>820906.9</v>
      </c>
      <c r="AO10" s="42">
        <f t="shared" si="19"/>
        <v>120</v>
      </c>
      <c r="AP10" s="42">
        <f t="shared" si="19"/>
        <v>98508828</v>
      </c>
      <c r="AQ10" s="42">
        <f t="shared" si="14"/>
        <v>914962.51162790693</v>
      </c>
      <c r="AR10" s="42">
        <v>86</v>
      </c>
      <c r="AS10" s="42">
        <v>78686776</v>
      </c>
      <c r="AT10" s="42">
        <f t="shared" si="15"/>
        <v>583001.5294117647</v>
      </c>
      <c r="AU10" s="42">
        <v>34</v>
      </c>
      <c r="AV10" s="43">
        <v>19822052</v>
      </c>
    </row>
    <row r="11" spans="1:48" ht="24" customHeight="1">
      <c r="A11" s="181"/>
      <c r="B11" s="154"/>
      <c r="C11" s="41" t="s">
        <v>99</v>
      </c>
      <c r="D11" s="42">
        <f t="shared" si="4"/>
        <v>1212216.517136791</v>
      </c>
      <c r="E11" s="42">
        <f t="shared" si="16"/>
        <v>16485</v>
      </c>
      <c r="F11" s="42">
        <f t="shared" si="16"/>
        <v>19983389285</v>
      </c>
      <c r="G11" s="42">
        <f t="shared" si="5"/>
        <v>1253533.5905016724</v>
      </c>
      <c r="H11" s="42">
        <v>7475</v>
      </c>
      <c r="I11" s="42">
        <v>9370163589</v>
      </c>
      <c r="J11" s="42">
        <f t="shared" si="6"/>
        <v>1177938.4790233073</v>
      </c>
      <c r="K11" s="42">
        <v>9010</v>
      </c>
      <c r="L11" s="43">
        <v>10613225696</v>
      </c>
      <c r="M11" s="181"/>
      <c r="N11" s="154"/>
      <c r="O11" s="41" t="s">
        <v>99</v>
      </c>
      <c r="P11" s="42">
        <f t="shared" si="7"/>
        <v>14460.139470412478</v>
      </c>
      <c r="Q11" s="42">
        <v>31846.42</v>
      </c>
      <c r="R11" s="42">
        <f t="shared" si="17"/>
        <v>5526044098</v>
      </c>
      <c r="S11" s="42">
        <f t="shared" si="8"/>
        <v>15883.107677317683</v>
      </c>
      <c r="T11" s="42">
        <v>15559.08</v>
      </c>
      <c r="U11" s="42">
        <v>2965518516</v>
      </c>
      <c r="V11" s="42">
        <f t="shared" si="9"/>
        <v>13100.804848513129</v>
      </c>
      <c r="W11" s="42">
        <v>16287.33</v>
      </c>
      <c r="X11" s="43">
        <v>2560525582</v>
      </c>
      <c r="Y11" s="181"/>
      <c r="Z11" s="154"/>
      <c r="AA11" s="41" t="s">
        <v>99</v>
      </c>
      <c r="AB11" s="42">
        <f t="shared" si="10"/>
        <v>90853.192889561265</v>
      </c>
      <c r="AC11" s="42">
        <f t="shared" si="18"/>
        <v>2644</v>
      </c>
      <c r="AD11" s="42">
        <f t="shared" si="18"/>
        <v>240215842</v>
      </c>
      <c r="AE11" s="42">
        <f t="shared" si="11"/>
        <v>114317.81931236284</v>
      </c>
      <c r="AF11" s="42">
        <v>1367</v>
      </c>
      <c r="AG11" s="42">
        <v>156272459</v>
      </c>
      <c r="AH11" s="42">
        <f t="shared" si="12"/>
        <v>65734.833985904464</v>
      </c>
      <c r="AI11" s="42">
        <v>1277</v>
      </c>
      <c r="AJ11" s="43">
        <v>83943383</v>
      </c>
      <c r="AK11" s="181"/>
      <c r="AL11" s="154"/>
      <c r="AM11" s="41" t="s">
        <v>99</v>
      </c>
      <c r="AN11" s="42">
        <f t="shared" si="13"/>
        <v>886211.8817204301</v>
      </c>
      <c r="AO11" s="42">
        <f t="shared" si="19"/>
        <v>186</v>
      </c>
      <c r="AP11" s="42">
        <f t="shared" si="19"/>
        <v>164835410</v>
      </c>
      <c r="AQ11" s="42">
        <f t="shared" si="14"/>
        <v>912589.13846153847</v>
      </c>
      <c r="AR11" s="42">
        <v>130</v>
      </c>
      <c r="AS11" s="42">
        <v>118636588</v>
      </c>
      <c r="AT11" s="42">
        <f t="shared" si="15"/>
        <v>824978.96428571432</v>
      </c>
      <c r="AU11" s="42">
        <v>56</v>
      </c>
      <c r="AV11" s="43">
        <v>46198822</v>
      </c>
    </row>
    <row r="12" spans="1:48" ht="24" customHeight="1">
      <c r="A12" s="182"/>
      <c r="B12" s="155"/>
      <c r="C12" s="44" t="s">
        <v>77</v>
      </c>
      <c r="D12" s="45">
        <f t="shared" si="4"/>
        <v>1507975.8547666336</v>
      </c>
      <c r="E12" s="45">
        <f t="shared" si="16"/>
        <v>4028</v>
      </c>
      <c r="F12" s="45">
        <f t="shared" si="16"/>
        <v>6074126743</v>
      </c>
      <c r="G12" s="45">
        <f t="shared" si="5"/>
        <v>1459952.4269113149</v>
      </c>
      <c r="H12" s="45">
        <v>1635</v>
      </c>
      <c r="I12" s="45">
        <v>2387022218</v>
      </c>
      <c r="J12" s="45">
        <f t="shared" si="6"/>
        <v>1540787.5156707063</v>
      </c>
      <c r="K12" s="45">
        <v>2393</v>
      </c>
      <c r="L12" s="46">
        <v>3687104525</v>
      </c>
      <c r="M12" s="182"/>
      <c r="N12" s="155"/>
      <c r="O12" s="44" t="s">
        <v>77</v>
      </c>
      <c r="P12" s="45">
        <f t="shared" si="7"/>
        <v>16557.627859506047</v>
      </c>
      <c r="Q12" s="45">
        <v>8333.17</v>
      </c>
      <c r="R12" s="45">
        <f t="shared" si="17"/>
        <v>1655730333</v>
      </c>
      <c r="S12" s="45">
        <f t="shared" si="8"/>
        <v>17477.376266388474</v>
      </c>
      <c r="T12" s="45">
        <v>3000.33</v>
      </c>
      <c r="U12" s="45">
        <v>629254756</v>
      </c>
      <c r="V12" s="45">
        <f t="shared" si="9"/>
        <v>16040.194683998301</v>
      </c>
      <c r="W12" s="45">
        <v>5332.83</v>
      </c>
      <c r="X12" s="46">
        <v>1026475577</v>
      </c>
      <c r="Y12" s="182"/>
      <c r="Z12" s="155"/>
      <c r="AA12" s="44" t="s">
        <v>77</v>
      </c>
      <c r="AB12" s="45">
        <f t="shared" si="10"/>
        <v>105378.24285714286</v>
      </c>
      <c r="AC12" s="45">
        <f t="shared" si="18"/>
        <v>140</v>
      </c>
      <c r="AD12" s="45">
        <f t="shared" si="18"/>
        <v>14752954</v>
      </c>
      <c r="AE12" s="45">
        <f t="shared" si="11"/>
        <v>117776.5294117647</v>
      </c>
      <c r="AF12" s="45">
        <v>85</v>
      </c>
      <c r="AG12" s="45">
        <v>10011005</v>
      </c>
      <c r="AH12" s="45">
        <f t="shared" si="12"/>
        <v>86217.254545454547</v>
      </c>
      <c r="AI12" s="45">
        <v>55</v>
      </c>
      <c r="AJ12" s="46">
        <v>4741949</v>
      </c>
      <c r="AK12" s="182"/>
      <c r="AL12" s="155"/>
      <c r="AM12" s="44" t="s">
        <v>77</v>
      </c>
      <c r="AN12" s="45">
        <f t="shared" si="13"/>
        <v>788908.67346938781</v>
      </c>
      <c r="AO12" s="45">
        <f t="shared" si="19"/>
        <v>49</v>
      </c>
      <c r="AP12" s="45">
        <f t="shared" si="19"/>
        <v>38656525</v>
      </c>
      <c r="AQ12" s="45">
        <f t="shared" si="14"/>
        <v>1060008.3809523811</v>
      </c>
      <c r="AR12" s="45">
        <v>21</v>
      </c>
      <c r="AS12" s="45">
        <v>22260176</v>
      </c>
      <c r="AT12" s="45">
        <f t="shared" si="15"/>
        <v>585583.89285714284</v>
      </c>
      <c r="AU12" s="45">
        <v>28</v>
      </c>
      <c r="AV12" s="46">
        <v>16396349</v>
      </c>
    </row>
    <row r="13" spans="1:48" ht="24" customHeight="1">
      <c r="A13" s="182"/>
      <c r="B13" s="155"/>
      <c r="C13" s="44" t="s">
        <v>78</v>
      </c>
      <c r="D13" s="45">
        <f t="shared" si="4"/>
        <v>1327189.9967933604</v>
      </c>
      <c r="E13" s="45">
        <f t="shared" si="16"/>
        <v>10603</v>
      </c>
      <c r="F13" s="45">
        <f t="shared" si="16"/>
        <v>14072195536</v>
      </c>
      <c r="G13" s="45">
        <f t="shared" si="5"/>
        <v>1360946.1254650683</v>
      </c>
      <c r="H13" s="45">
        <v>4838</v>
      </c>
      <c r="I13" s="45">
        <v>6584257355</v>
      </c>
      <c r="J13" s="45">
        <f t="shared" si="6"/>
        <v>1298861.7833477883</v>
      </c>
      <c r="K13" s="45">
        <v>5765</v>
      </c>
      <c r="L13" s="46">
        <v>7487938181</v>
      </c>
      <c r="M13" s="182"/>
      <c r="N13" s="155"/>
      <c r="O13" s="44" t="s">
        <v>78</v>
      </c>
      <c r="P13" s="45">
        <f t="shared" si="7"/>
        <v>14937.463154729458</v>
      </c>
      <c r="Q13" s="45">
        <v>17004.669999999998</v>
      </c>
      <c r="R13" s="45">
        <f t="shared" si="17"/>
        <v>3048079579</v>
      </c>
      <c r="S13" s="45">
        <f t="shared" si="8"/>
        <v>16140.616939073401</v>
      </c>
      <c r="T13" s="45">
        <v>9072.83</v>
      </c>
      <c r="U13" s="45">
        <v>1757292883</v>
      </c>
      <c r="V13" s="45">
        <f t="shared" si="9"/>
        <v>13561.253582086354</v>
      </c>
      <c r="W13" s="45">
        <v>7931.83</v>
      </c>
      <c r="X13" s="46">
        <v>1290786696</v>
      </c>
      <c r="Y13" s="182"/>
      <c r="Z13" s="155"/>
      <c r="AA13" s="44" t="s">
        <v>78</v>
      </c>
      <c r="AB13" s="45">
        <f t="shared" si="10"/>
        <v>108933.82825484764</v>
      </c>
      <c r="AC13" s="45">
        <f t="shared" si="18"/>
        <v>1444</v>
      </c>
      <c r="AD13" s="45">
        <f t="shared" si="18"/>
        <v>157300448</v>
      </c>
      <c r="AE13" s="45">
        <f t="shared" si="11"/>
        <v>138825.57303370786</v>
      </c>
      <c r="AF13" s="45">
        <v>712</v>
      </c>
      <c r="AG13" s="45">
        <v>98843808</v>
      </c>
      <c r="AH13" s="45">
        <f t="shared" si="12"/>
        <v>79858.797814207646</v>
      </c>
      <c r="AI13" s="45">
        <v>732</v>
      </c>
      <c r="AJ13" s="46">
        <v>58456640</v>
      </c>
      <c r="AK13" s="182"/>
      <c r="AL13" s="155"/>
      <c r="AM13" s="44" t="s">
        <v>78</v>
      </c>
      <c r="AN13" s="45">
        <f t="shared" si="13"/>
        <v>988808.5</v>
      </c>
      <c r="AO13" s="45">
        <f t="shared" si="19"/>
        <v>68</v>
      </c>
      <c r="AP13" s="45">
        <f t="shared" si="19"/>
        <v>67238978</v>
      </c>
      <c r="AQ13" s="45">
        <f t="shared" si="14"/>
        <v>1046555.3260869565</v>
      </c>
      <c r="AR13" s="45">
        <v>46</v>
      </c>
      <c r="AS13" s="45">
        <v>48141545</v>
      </c>
      <c r="AT13" s="45">
        <f t="shared" si="15"/>
        <v>868065.13636363635</v>
      </c>
      <c r="AU13" s="45">
        <v>22</v>
      </c>
      <c r="AV13" s="46">
        <v>19097433</v>
      </c>
    </row>
    <row r="14" spans="1:48" ht="24" customHeight="1">
      <c r="A14" s="182"/>
      <c r="B14" s="155"/>
      <c r="C14" s="44" t="s">
        <v>79</v>
      </c>
      <c r="D14" s="45">
        <f t="shared" si="4"/>
        <v>1422024.7167982771</v>
      </c>
      <c r="E14" s="45">
        <f t="shared" si="16"/>
        <v>2786</v>
      </c>
      <c r="F14" s="45">
        <f t="shared" si="16"/>
        <v>3961760861</v>
      </c>
      <c r="G14" s="45">
        <f t="shared" si="5"/>
        <v>1433912.3162251655</v>
      </c>
      <c r="H14" s="45">
        <v>1208</v>
      </c>
      <c r="I14" s="45">
        <v>1732166078</v>
      </c>
      <c r="J14" s="45">
        <f t="shared" si="6"/>
        <v>1412924.4505703421</v>
      </c>
      <c r="K14" s="45">
        <v>1578</v>
      </c>
      <c r="L14" s="46">
        <v>2229594783</v>
      </c>
      <c r="M14" s="182"/>
      <c r="N14" s="155"/>
      <c r="O14" s="44" t="s">
        <v>79</v>
      </c>
      <c r="P14" s="45">
        <f t="shared" si="7"/>
        <v>15881.144800973678</v>
      </c>
      <c r="Q14" s="45">
        <v>4160.17</v>
      </c>
      <c r="R14" s="45">
        <f t="shared" si="17"/>
        <v>792819146</v>
      </c>
      <c r="S14" s="45">
        <f t="shared" si="8"/>
        <v>16550.498209329395</v>
      </c>
      <c r="T14" s="45">
        <v>1861.5</v>
      </c>
      <c r="U14" s="45">
        <v>369705029</v>
      </c>
      <c r="V14" s="45">
        <f t="shared" si="9"/>
        <v>15339.091626897292</v>
      </c>
      <c r="W14" s="45">
        <v>2298.67</v>
      </c>
      <c r="X14" s="46">
        <v>423114117</v>
      </c>
      <c r="Y14" s="182"/>
      <c r="Z14" s="155"/>
      <c r="AA14" s="44" t="s">
        <v>79</v>
      </c>
      <c r="AB14" s="45">
        <f t="shared" si="10"/>
        <v>106844.13636363637</v>
      </c>
      <c r="AC14" s="45">
        <f t="shared" si="18"/>
        <v>220</v>
      </c>
      <c r="AD14" s="45">
        <f t="shared" si="18"/>
        <v>23505710</v>
      </c>
      <c r="AE14" s="45">
        <f t="shared" si="11"/>
        <v>135824.56666666668</v>
      </c>
      <c r="AF14" s="45">
        <v>120</v>
      </c>
      <c r="AG14" s="45">
        <v>16298948</v>
      </c>
      <c r="AH14" s="45">
        <f t="shared" si="12"/>
        <v>72067.62</v>
      </c>
      <c r="AI14" s="45">
        <v>100</v>
      </c>
      <c r="AJ14" s="46">
        <v>7206762</v>
      </c>
      <c r="AK14" s="182"/>
      <c r="AL14" s="155"/>
      <c r="AM14" s="44" t="s">
        <v>79</v>
      </c>
      <c r="AN14" s="45">
        <f t="shared" si="13"/>
        <v>1137462.6875</v>
      </c>
      <c r="AO14" s="45">
        <f t="shared" si="19"/>
        <v>16</v>
      </c>
      <c r="AP14" s="45">
        <f t="shared" si="19"/>
        <v>18199403</v>
      </c>
      <c r="AQ14" s="45">
        <f t="shared" si="14"/>
        <v>1064413.7777777778</v>
      </c>
      <c r="AR14" s="45">
        <v>9</v>
      </c>
      <c r="AS14" s="45">
        <v>9579724</v>
      </c>
      <c r="AT14" s="45">
        <f t="shared" si="15"/>
        <v>1231382.7142857143</v>
      </c>
      <c r="AU14" s="45">
        <v>7</v>
      </c>
      <c r="AV14" s="46">
        <v>8619679</v>
      </c>
    </row>
    <row r="15" spans="1:48" ht="24" customHeight="1">
      <c r="A15" s="182"/>
      <c r="B15" s="155"/>
      <c r="C15" s="44" t="s">
        <v>80</v>
      </c>
      <c r="D15" s="45">
        <f t="shared" si="4"/>
        <v>1280702.2469512196</v>
      </c>
      <c r="E15" s="45">
        <f t="shared" si="16"/>
        <v>2624</v>
      </c>
      <c r="F15" s="45">
        <f t="shared" si="16"/>
        <v>3360562696</v>
      </c>
      <c r="G15" s="45">
        <f t="shared" si="5"/>
        <v>1310094.6407342658</v>
      </c>
      <c r="H15" s="45">
        <v>1144</v>
      </c>
      <c r="I15" s="45">
        <v>1498748269</v>
      </c>
      <c r="J15" s="45">
        <f t="shared" si="6"/>
        <v>1257982.7209459459</v>
      </c>
      <c r="K15" s="45">
        <v>1480</v>
      </c>
      <c r="L15" s="46">
        <v>1861814427</v>
      </c>
      <c r="M15" s="182"/>
      <c r="N15" s="155"/>
      <c r="O15" s="44" t="s">
        <v>80</v>
      </c>
      <c r="P15" s="45">
        <f t="shared" si="7"/>
        <v>14847.49154157778</v>
      </c>
      <c r="Q15" s="45">
        <v>5151.67</v>
      </c>
      <c r="R15" s="45">
        <f t="shared" si="17"/>
        <v>917872521</v>
      </c>
      <c r="S15" s="45">
        <f t="shared" si="8"/>
        <v>15657.800017851565</v>
      </c>
      <c r="T15" s="45">
        <v>2390.08</v>
      </c>
      <c r="U15" s="45">
        <v>449080736</v>
      </c>
      <c r="V15" s="45">
        <f t="shared" si="9"/>
        <v>14146.243122898244</v>
      </c>
      <c r="W15" s="45">
        <v>2761.58</v>
      </c>
      <c r="X15" s="46">
        <v>468791785</v>
      </c>
      <c r="Y15" s="182"/>
      <c r="Z15" s="155"/>
      <c r="AA15" s="44" t="s">
        <v>80</v>
      </c>
      <c r="AB15" s="45">
        <f t="shared" si="10"/>
        <v>80910.443396226416</v>
      </c>
      <c r="AC15" s="45">
        <f t="shared" si="18"/>
        <v>318</v>
      </c>
      <c r="AD15" s="45">
        <f t="shared" si="18"/>
        <v>25729521</v>
      </c>
      <c r="AE15" s="45">
        <f t="shared" si="11"/>
        <v>102309.7463768116</v>
      </c>
      <c r="AF15" s="45">
        <v>138</v>
      </c>
      <c r="AG15" s="45">
        <v>14118745</v>
      </c>
      <c r="AH15" s="45">
        <f t="shared" si="12"/>
        <v>64504.311111111114</v>
      </c>
      <c r="AI15" s="45">
        <v>180</v>
      </c>
      <c r="AJ15" s="46">
        <v>11610776</v>
      </c>
      <c r="AK15" s="182"/>
      <c r="AL15" s="155"/>
      <c r="AM15" s="44" t="s">
        <v>80</v>
      </c>
      <c r="AN15" s="45">
        <f t="shared" si="13"/>
        <v>997284.14285714284</v>
      </c>
      <c r="AO15" s="45">
        <f t="shared" si="19"/>
        <v>28</v>
      </c>
      <c r="AP15" s="45">
        <f t="shared" si="19"/>
        <v>27923956</v>
      </c>
      <c r="AQ15" s="45">
        <f t="shared" si="14"/>
        <v>1089546.111111111</v>
      </c>
      <c r="AR15" s="45">
        <v>18</v>
      </c>
      <c r="AS15" s="45">
        <v>19611830</v>
      </c>
      <c r="AT15" s="45">
        <f t="shared" si="15"/>
        <v>831212.6</v>
      </c>
      <c r="AU15" s="45">
        <v>10</v>
      </c>
      <c r="AV15" s="46">
        <v>8312126</v>
      </c>
    </row>
    <row r="16" spans="1:48" ht="24" customHeight="1">
      <c r="A16" s="182"/>
      <c r="B16" s="155"/>
      <c r="C16" s="44" t="s">
        <v>81</v>
      </c>
      <c r="D16" s="45">
        <f t="shared" si="4"/>
        <v>1229935.4573506289</v>
      </c>
      <c r="E16" s="45">
        <f t="shared" si="16"/>
        <v>5088</v>
      </c>
      <c r="F16" s="45">
        <f t="shared" si="16"/>
        <v>6257911607</v>
      </c>
      <c r="G16" s="45">
        <f t="shared" si="5"/>
        <v>1273465.1463220676</v>
      </c>
      <c r="H16" s="45">
        <v>2515</v>
      </c>
      <c r="I16" s="45">
        <v>3202764843</v>
      </c>
      <c r="J16" s="45">
        <f t="shared" si="6"/>
        <v>1187387.005052468</v>
      </c>
      <c r="K16" s="45">
        <v>2573</v>
      </c>
      <c r="L16" s="46">
        <v>3055146764</v>
      </c>
      <c r="M16" s="182"/>
      <c r="N16" s="155"/>
      <c r="O16" s="44" t="s">
        <v>81</v>
      </c>
      <c r="P16" s="45">
        <f t="shared" si="7"/>
        <v>13582.448801891638</v>
      </c>
      <c r="Q16" s="45">
        <v>10694.08</v>
      </c>
      <c r="R16" s="45">
        <f t="shared" si="17"/>
        <v>1743021529</v>
      </c>
      <c r="S16" s="45">
        <f t="shared" si="8"/>
        <v>14796.808996120688</v>
      </c>
      <c r="T16" s="45">
        <v>5427.08</v>
      </c>
      <c r="U16" s="45">
        <v>963641594</v>
      </c>
      <c r="V16" s="45">
        <f t="shared" si="9"/>
        <v>12331.180542370736</v>
      </c>
      <c r="W16" s="45">
        <v>5267</v>
      </c>
      <c r="X16" s="46">
        <v>779379935</v>
      </c>
      <c r="Y16" s="182"/>
      <c r="Z16" s="155"/>
      <c r="AA16" s="44" t="s">
        <v>81</v>
      </c>
      <c r="AB16" s="45">
        <f t="shared" si="10"/>
        <v>88165.805164319245</v>
      </c>
      <c r="AC16" s="45">
        <f t="shared" si="18"/>
        <v>852</v>
      </c>
      <c r="AD16" s="45">
        <f t="shared" si="18"/>
        <v>75117266</v>
      </c>
      <c r="AE16" s="45">
        <f t="shared" si="11"/>
        <v>109284.28498727735</v>
      </c>
      <c r="AF16" s="45">
        <v>393</v>
      </c>
      <c r="AG16" s="45">
        <v>42948724</v>
      </c>
      <c r="AH16" s="45">
        <f t="shared" si="12"/>
        <v>70083.969498910679</v>
      </c>
      <c r="AI16" s="45">
        <v>459</v>
      </c>
      <c r="AJ16" s="46">
        <v>32168542</v>
      </c>
      <c r="AK16" s="182"/>
      <c r="AL16" s="155"/>
      <c r="AM16" s="44" t="s">
        <v>81</v>
      </c>
      <c r="AN16" s="45">
        <f t="shared" si="13"/>
        <v>742042.31111111108</v>
      </c>
      <c r="AO16" s="45">
        <f t="shared" si="19"/>
        <v>45</v>
      </c>
      <c r="AP16" s="45">
        <f t="shared" si="19"/>
        <v>33391904</v>
      </c>
      <c r="AQ16" s="45">
        <f t="shared" si="14"/>
        <v>779628.53333333333</v>
      </c>
      <c r="AR16" s="45">
        <v>30</v>
      </c>
      <c r="AS16" s="45">
        <v>23388856</v>
      </c>
      <c r="AT16" s="45">
        <f t="shared" si="15"/>
        <v>666869.8666666667</v>
      </c>
      <c r="AU16" s="45">
        <v>15</v>
      </c>
      <c r="AV16" s="46">
        <v>10003048</v>
      </c>
    </row>
    <row r="17" spans="1:48" ht="24" customHeight="1">
      <c r="A17" s="182"/>
      <c r="B17" s="155"/>
      <c r="C17" s="44" t="s">
        <v>82</v>
      </c>
      <c r="D17" s="45">
        <f t="shared" si="4"/>
        <v>1263126.7181892332</v>
      </c>
      <c r="E17" s="45">
        <f t="shared" si="16"/>
        <v>2452</v>
      </c>
      <c r="F17" s="45">
        <f t="shared" si="16"/>
        <v>3097186713</v>
      </c>
      <c r="G17" s="45">
        <f t="shared" si="5"/>
        <v>1266917.3459801264</v>
      </c>
      <c r="H17" s="45">
        <v>1107</v>
      </c>
      <c r="I17" s="45">
        <v>1402477502</v>
      </c>
      <c r="J17" s="45">
        <f t="shared" si="6"/>
        <v>1260006.8483271375</v>
      </c>
      <c r="K17" s="45">
        <v>1345</v>
      </c>
      <c r="L17" s="46">
        <v>1694709211</v>
      </c>
      <c r="M17" s="182"/>
      <c r="N17" s="155"/>
      <c r="O17" s="44" t="s">
        <v>82</v>
      </c>
      <c r="P17" s="45">
        <f t="shared" si="7"/>
        <v>14945.72471627607</v>
      </c>
      <c r="Q17" s="45">
        <v>5873.08</v>
      </c>
      <c r="R17" s="45">
        <f t="shared" si="17"/>
        <v>1053329243</v>
      </c>
      <c r="S17" s="45">
        <f t="shared" si="8"/>
        <v>15756.840711583682</v>
      </c>
      <c r="T17" s="45">
        <v>2445.25</v>
      </c>
      <c r="U17" s="45">
        <v>462352977</v>
      </c>
      <c r="V17" s="45">
        <f t="shared" si="9"/>
        <v>14367.113353540481</v>
      </c>
      <c r="W17" s="45">
        <v>3427.83</v>
      </c>
      <c r="X17" s="46">
        <v>590976266</v>
      </c>
      <c r="Y17" s="182"/>
      <c r="Z17" s="155"/>
      <c r="AA17" s="44" t="s">
        <v>82</v>
      </c>
      <c r="AB17" s="45">
        <f t="shared" si="10"/>
        <v>93487.38461538461</v>
      </c>
      <c r="AC17" s="45">
        <f t="shared" si="18"/>
        <v>234</v>
      </c>
      <c r="AD17" s="45">
        <f t="shared" si="18"/>
        <v>21876048</v>
      </c>
      <c r="AE17" s="45">
        <f t="shared" si="11"/>
        <v>114243.20967741935</v>
      </c>
      <c r="AF17" s="45">
        <v>124</v>
      </c>
      <c r="AG17" s="45">
        <v>14166158</v>
      </c>
      <c r="AH17" s="45">
        <f t="shared" si="12"/>
        <v>70089.909090909088</v>
      </c>
      <c r="AI17" s="45">
        <v>110</v>
      </c>
      <c r="AJ17" s="46">
        <v>7709890</v>
      </c>
      <c r="AK17" s="182"/>
      <c r="AL17" s="155"/>
      <c r="AM17" s="44" t="s">
        <v>82</v>
      </c>
      <c r="AN17" s="45">
        <f t="shared" si="13"/>
        <v>779362.97826086951</v>
      </c>
      <c r="AO17" s="45">
        <f t="shared" si="19"/>
        <v>46</v>
      </c>
      <c r="AP17" s="45">
        <f t="shared" si="19"/>
        <v>35850697</v>
      </c>
      <c r="AQ17" s="45">
        <f t="shared" si="14"/>
        <v>833389.91304347827</v>
      </c>
      <c r="AR17" s="45">
        <v>23</v>
      </c>
      <c r="AS17" s="45">
        <v>19167968</v>
      </c>
      <c r="AT17" s="45">
        <f t="shared" si="15"/>
        <v>725336.04347826086</v>
      </c>
      <c r="AU17" s="45">
        <v>23</v>
      </c>
      <c r="AV17" s="46">
        <v>16682729</v>
      </c>
    </row>
    <row r="18" spans="1:48" ht="24" customHeight="1">
      <c r="A18" s="182"/>
      <c r="B18" s="155"/>
      <c r="C18" s="44" t="s">
        <v>83</v>
      </c>
      <c r="D18" s="45">
        <f t="shared" si="4"/>
        <v>1227731.7840273462</v>
      </c>
      <c r="E18" s="45">
        <f t="shared" si="16"/>
        <v>3218</v>
      </c>
      <c r="F18" s="45">
        <f t="shared" si="16"/>
        <v>3950840881</v>
      </c>
      <c r="G18" s="45">
        <f t="shared" si="5"/>
        <v>1238853.0268456375</v>
      </c>
      <c r="H18" s="45">
        <v>1490</v>
      </c>
      <c r="I18" s="45">
        <v>1845891010</v>
      </c>
      <c r="J18" s="45">
        <f t="shared" si="6"/>
        <v>1218142.2864583333</v>
      </c>
      <c r="K18" s="45">
        <v>1728</v>
      </c>
      <c r="L18" s="46">
        <v>2104949871</v>
      </c>
      <c r="M18" s="182"/>
      <c r="N18" s="155"/>
      <c r="O18" s="44" t="s">
        <v>83</v>
      </c>
      <c r="P18" s="45">
        <f t="shared" si="7"/>
        <v>13474.86100390496</v>
      </c>
      <c r="Q18" s="45">
        <v>7319.75</v>
      </c>
      <c r="R18" s="45">
        <f t="shared" si="17"/>
        <v>1183591366</v>
      </c>
      <c r="S18" s="45">
        <f t="shared" si="8"/>
        <v>14546.817551667691</v>
      </c>
      <c r="T18" s="45">
        <v>3258</v>
      </c>
      <c r="U18" s="45">
        <v>568722379</v>
      </c>
      <c r="V18" s="45">
        <f t="shared" si="9"/>
        <v>12615.026097125623</v>
      </c>
      <c r="W18" s="45">
        <v>4061.75</v>
      </c>
      <c r="X18" s="46">
        <v>614868987</v>
      </c>
      <c r="Y18" s="182"/>
      <c r="Z18" s="155"/>
      <c r="AA18" s="44" t="s">
        <v>83</v>
      </c>
      <c r="AB18" s="45">
        <f t="shared" si="10"/>
        <v>96839.072992700734</v>
      </c>
      <c r="AC18" s="45">
        <f t="shared" si="18"/>
        <v>274</v>
      </c>
      <c r="AD18" s="45">
        <f t="shared" si="18"/>
        <v>26533906</v>
      </c>
      <c r="AE18" s="45">
        <f t="shared" si="11"/>
        <v>115476.6305732484</v>
      </c>
      <c r="AF18" s="45">
        <v>157</v>
      </c>
      <c r="AG18" s="45">
        <v>18129831</v>
      </c>
      <c r="AH18" s="45">
        <f t="shared" si="12"/>
        <v>71829.700854700859</v>
      </c>
      <c r="AI18" s="45">
        <v>117</v>
      </c>
      <c r="AJ18" s="46">
        <v>8404075</v>
      </c>
      <c r="AK18" s="182"/>
      <c r="AL18" s="155"/>
      <c r="AM18" s="44" t="s">
        <v>83</v>
      </c>
      <c r="AN18" s="45">
        <f t="shared" si="13"/>
        <v>717470.94594594592</v>
      </c>
      <c r="AO18" s="45">
        <f t="shared" si="19"/>
        <v>37</v>
      </c>
      <c r="AP18" s="45">
        <f t="shared" si="19"/>
        <v>26546425</v>
      </c>
      <c r="AQ18" s="45">
        <f t="shared" si="14"/>
        <v>871590.22222222225</v>
      </c>
      <c r="AR18" s="45">
        <v>18</v>
      </c>
      <c r="AS18" s="45">
        <v>15688624</v>
      </c>
      <c r="AT18" s="45">
        <f t="shared" si="15"/>
        <v>571463.21052631584</v>
      </c>
      <c r="AU18" s="45">
        <v>19</v>
      </c>
      <c r="AV18" s="46">
        <v>10857801</v>
      </c>
    </row>
    <row r="19" spans="1:48" ht="24" customHeight="1">
      <c r="A19" s="182"/>
      <c r="B19" s="155"/>
      <c r="C19" s="44" t="s">
        <v>84</v>
      </c>
      <c r="D19" s="45">
        <f t="shared" si="4"/>
        <v>1168728.0391595033</v>
      </c>
      <c r="E19" s="45">
        <f t="shared" si="16"/>
        <v>1047</v>
      </c>
      <c r="F19" s="45">
        <f t="shared" si="16"/>
        <v>1223658257</v>
      </c>
      <c r="G19" s="45">
        <f t="shared" si="5"/>
        <v>1203315.2576576576</v>
      </c>
      <c r="H19" s="45">
        <v>555</v>
      </c>
      <c r="I19" s="45">
        <v>667839968</v>
      </c>
      <c r="J19" s="45">
        <f t="shared" si="6"/>
        <v>1129711.9695121951</v>
      </c>
      <c r="K19" s="45">
        <v>492</v>
      </c>
      <c r="L19" s="46">
        <v>555818289</v>
      </c>
      <c r="M19" s="182"/>
      <c r="N19" s="155"/>
      <c r="O19" s="44" t="s">
        <v>84</v>
      </c>
      <c r="P19" s="45">
        <f t="shared" si="7"/>
        <v>13990.096783845076</v>
      </c>
      <c r="Q19" s="45">
        <v>2306.17</v>
      </c>
      <c r="R19" s="45">
        <f t="shared" si="17"/>
        <v>387162498</v>
      </c>
      <c r="S19" s="45">
        <f t="shared" si="8"/>
        <v>15185.999898276636</v>
      </c>
      <c r="T19" s="45">
        <v>1179.67</v>
      </c>
      <c r="U19" s="45">
        <v>214973622</v>
      </c>
      <c r="V19" s="45">
        <f t="shared" si="9"/>
        <v>12737.747891699955</v>
      </c>
      <c r="W19" s="45">
        <v>1126.5</v>
      </c>
      <c r="X19" s="46">
        <v>172188876</v>
      </c>
      <c r="Y19" s="182"/>
      <c r="Z19" s="155"/>
      <c r="AA19" s="44" t="s">
        <v>84</v>
      </c>
      <c r="AB19" s="45">
        <f t="shared" si="10"/>
        <v>72866.895582329322</v>
      </c>
      <c r="AC19" s="45">
        <f t="shared" si="18"/>
        <v>249</v>
      </c>
      <c r="AD19" s="45">
        <f t="shared" si="18"/>
        <v>18143857</v>
      </c>
      <c r="AE19" s="45">
        <f t="shared" si="11"/>
        <v>87118.752212389387</v>
      </c>
      <c r="AF19" s="45">
        <v>113</v>
      </c>
      <c r="AG19" s="45">
        <v>9844419</v>
      </c>
      <c r="AH19" s="45">
        <f t="shared" si="12"/>
        <v>61025.279411764706</v>
      </c>
      <c r="AI19" s="45">
        <v>136</v>
      </c>
      <c r="AJ19" s="46">
        <v>8299438</v>
      </c>
      <c r="AK19" s="182"/>
      <c r="AL19" s="155"/>
      <c r="AM19" s="44" t="s">
        <v>84</v>
      </c>
      <c r="AN19" s="45">
        <f t="shared" si="13"/>
        <v>797575.83333333337</v>
      </c>
      <c r="AO19" s="45">
        <f t="shared" si="19"/>
        <v>12</v>
      </c>
      <c r="AP19" s="45">
        <f t="shared" si="19"/>
        <v>9570910</v>
      </c>
      <c r="AQ19" s="45">
        <f t="shared" si="14"/>
        <v>929734.66666666663</v>
      </c>
      <c r="AR19" s="45">
        <v>9</v>
      </c>
      <c r="AS19" s="45">
        <v>8367612</v>
      </c>
      <c r="AT19" s="45">
        <f t="shared" si="15"/>
        <v>401099.33333333331</v>
      </c>
      <c r="AU19" s="45">
        <v>3</v>
      </c>
      <c r="AV19" s="46">
        <v>1203298</v>
      </c>
    </row>
    <row r="20" spans="1:48" ht="24" customHeight="1">
      <c r="A20" s="182"/>
      <c r="B20" s="155"/>
      <c r="C20" s="44" t="s">
        <v>85</v>
      </c>
      <c r="D20" s="45">
        <f t="shared" si="4"/>
        <v>1140080.0608585859</v>
      </c>
      <c r="E20" s="45">
        <f t="shared" si="16"/>
        <v>3960</v>
      </c>
      <c r="F20" s="45">
        <f t="shared" si="16"/>
        <v>4514717041</v>
      </c>
      <c r="G20" s="45">
        <f t="shared" si="5"/>
        <v>1173434.7977059437</v>
      </c>
      <c r="H20" s="45">
        <v>1918</v>
      </c>
      <c r="I20" s="45">
        <v>2250647942</v>
      </c>
      <c r="J20" s="45">
        <f t="shared" si="6"/>
        <v>1108750.7830558277</v>
      </c>
      <c r="K20" s="45">
        <v>2042</v>
      </c>
      <c r="L20" s="46">
        <v>2264069099</v>
      </c>
      <c r="M20" s="182"/>
      <c r="N20" s="155"/>
      <c r="O20" s="44" t="s">
        <v>85</v>
      </c>
      <c r="P20" s="45">
        <f t="shared" si="7"/>
        <v>13426.256973766765</v>
      </c>
      <c r="Q20" s="45">
        <v>6093.67</v>
      </c>
      <c r="R20" s="45">
        <f t="shared" si="17"/>
        <v>981782152</v>
      </c>
      <c r="S20" s="45">
        <f t="shared" si="8"/>
        <v>14207.606918797348</v>
      </c>
      <c r="T20" s="45">
        <v>2816</v>
      </c>
      <c r="U20" s="45">
        <v>480103453</v>
      </c>
      <c r="V20" s="45">
        <f t="shared" si="9"/>
        <v>12754.962595380255</v>
      </c>
      <c r="W20" s="45">
        <v>3277.67</v>
      </c>
      <c r="X20" s="46">
        <v>501678699</v>
      </c>
      <c r="Y20" s="182"/>
      <c r="Z20" s="155"/>
      <c r="AA20" s="44" t="s">
        <v>85</v>
      </c>
      <c r="AB20" s="45">
        <f t="shared" si="10"/>
        <v>88622.39462809918</v>
      </c>
      <c r="AC20" s="45">
        <f t="shared" si="18"/>
        <v>484</v>
      </c>
      <c r="AD20" s="45">
        <f t="shared" si="18"/>
        <v>42893239</v>
      </c>
      <c r="AE20" s="45">
        <f t="shared" si="11"/>
        <v>117884.21632653062</v>
      </c>
      <c r="AF20" s="45">
        <v>245</v>
      </c>
      <c r="AG20" s="45">
        <v>28881633</v>
      </c>
      <c r="AH20" s="45">
        <f t="shared" si="12"/>
        <v>58625.966527196651</v>
      </c>
      <c r="AI20" s="45">
        <v>239</v>
      </c>
      <c r="AJ20" s="46">
        <v>14011606</v>
      </c>
      <c r="AK20" s="182"/>
      <c r="AL20" s="155"/>
      <c r="AM20" s="44" t="s">
        <v>85</v>
      </c>
      <c r="AN20" s="45">
        <f t="shared" si="13"/>
        <v>783408.93939393945</v>
      </c>
      <c r="AO20" s="45">
        <f t="shared" si="19"/>
        <v>33</v>
      </c>
      <c r="AP20" s="45">
        <f t="shared" si="19"/>
        <v>25852495</v>
      </c>
      <c r="AQ20" s="45">
        <f t="shared" si="14"/>
        <v>812820.68421052629</v>
      </c>
      <c r="AR20" s="45">
        <v>19</v>
      </c>
      <c r="AS20" s="45">
        <v>15443593</v>
      </c>
      <c r="AT20" s="45">
        <f t="shared" si="15"/>
        <v>743493</v>
      </c>
      <c r="AU20" s="45">
        <v>14</v>
      </c>
      <c r="AV20" s="46">
        <v>10408902</v>
      </c>
    </row>
    <row r="21" spans="1:48" ht="24" customHeight="1">
      <c r="A21" s="182"/>
      <c r="B21" s="155"/>
      <c r="C21" s="44" t="s">
        <v>86</v>
      </c>
      <c r="D21" s="45">
        <f t="shared" si="4"/>
        <v>1087130.4123581336</v>
      </c>
      <c r="E21" s="45">
        <f t="shared" si="16"/>
        <v>793</v>
      </c>
      <c r="F21" s="45">
        <f t="shared" si="16"/>
        <v>862094417</v>
      </c>
      <c r="G21" s="45">
        <f t="shared" si="5"/>
        <v>1134139.3055555555</v>
      </c>
      <c r="H21" s="45">
        <v>396</v>
      </c>
      <c r="I21" s="45">
        <v>449119165</v>
      </c>
      <c r="J21" s="45">
        <f t="shared" si="6"/>
        <v>1040239.9294710327</v>
      </c>
      <c r="K21" s="45">
        <v>397</v>
      </c>
      <c r="L21" s="46">
        <v>412975252</v>
      </c>
      <c r="M21" s="182"/>
      <c r="N21" s="155"/>
      <c r="O21" s="44" t="s">
        <v>86</v>
      </c>
      <c r="P21" s="45">
        <f t="shared" si="7"/>
        <v>13977.424620831538</v>
      </c>
      <c r="Q21" s="45">
        <v>1741.75</v>
      </c>
      <c r="R21" s="45">
        <f t="shared" si="17"/>
        <v>292142152</v>
      </c>
      <c r="S21" s="45">
        <f t="shared" si="8"/>
        <v>15465.208975270602</v>
      </c>
      <c r="T21" s="45">
        <v>759.42</v>
      </c>
      <c r="U21" s="45">
        <v>140935068</v>
      </c>
      <c r="V21" s="45">
        <f t="shared" si="9"/>
        <v>12827.247801994577</v>
      </c>
      <c r="W21" s="45">
        <v>982.33</v>
      </c>
      <c r="X21" s="46">
        <v>151207084</v>
      </c>
      <c r="Y21" s="182"/>
      <c r="Z21" s="155"/>
      <c r="AA21" s="44" t="s">
        <v>86</v>
      </c>
      <c r="AB21" s="45">
        <f t="shared" si="10"/>
        <v>102912.51886792453</v>
      </c>
      <c r="AC21" s="45">
        <f t="shared" si="18"/>
        <v>106</v>
      </c>
      <c r="AD21" s="45">
        <f t="shared" si="18"/>
        <v>10908727</v>
      </c>
      <c r="AE21" s="45">
        <f t="shared" si="11"/>
        <v>125439.5737704918</v>
      </c>
      <c r="AF21" s="45">
        <v>61</v>
      </c>
      <c r="AG21" s="45">
        <v>7651814</v>
      </c>
      <c r="AH21" s="45">
        <f t="shared" si="12"/>
        <v>72375.844444444447</v>
      </c>
      <c r="AI21" s="45">
        <v>45</v>
      </c>
      <c r="AJ21" s="46">
        <v>3256913</v>
      </c>
      <c r="AK21" s="182"/>
      <c r="AL21" s="155"/>
      <c r="AM21" s="44" t="s">
        <v>86</v>
      </c>
      <c r="AN21" s="45">
        <f t="shared" si="13"/>
        <v>849814.9375</v>
      </c>
      <c r="AO21" s="45">
        <f t="shared" si="19"/>
        <v>16</v>
      </c>
      <c r="AP21" s="45">
        <f t="shared" si="19"/>
        <v>13597039</v>
      </c>
      <c r="AQ21" s="45">
        <f t="shared" si="14"/>
        <v>983240.33333333337</v>
      </c>
      <c r="AR21" s="45">
        <v>9</v>
      </c>
      <c r="AS21" s="45">
        <v>8849163</v>
      </c>
      <c r="AT21" s="45">
        <f t="shared" si="15"/>
        <v>678268</v>
      </c>
      <c r="AU21" s="45">
        <v>7</v>
      </c>
      <c r="AV21" s="46">
        <v>4747876</v>
      </c>
    </row>
    <row r="22" spans="1:48" ht="24" customHeight="1">
      <c r="A22" s="182"/>
      <c r="B22" s="155"/>
      <c r="C22" s="44" t="s">
        <v>87</v>
      </c>
      <c r="D22" s="45">
        <f t="shared" si="4"/>
        <v>1221921.3022113021</v>
      </c>
      <c r="E22" s="45">
        <f t="shared" si="16"/>
        <v>2035</v>
      </c>
      <c r="F22" s="45">
        <f t="shared" si="16"/>
        <v>2486609850</v>
      </c>
      <c r="G22" s="45">
        <f t="shared" si="5"/>
        <v>1221840.6487093153</v>
      </c>
      <c r="H22" s="45">
        <v>891</v>
      </c>
      <c r="I22" s="45">
        <v>1088660018</v>
      </c>
      <c r="J22" s="45">
        <f t="shared" si="6"/>
        <v>1221984.1188811189</v>
      </c>
      <c r="K22" s="45">
        <v>1144</v>
      </c>
      <c r="L22" s="46">
        <v>1397949832</v>
      </c>
      <c r="M22" s="182"/>
      <c r="N22" s="155"/>
      <c r="O22" s="44" t="s">
        <v>87</v>
      </c>
      <c r="P22" s="45">
        <f t="shared" si="7"/>
        <v>15342.821610458586</v>
      </c>
      <c r="Q22" s="45">
        <v>4353.17</v>
      </c>
      <c r="R22" s="45">
        <f t="shared" si="17"/>
        <v>801478929</v>
      </c>
      <c r="S22" s="45">
        <f t="shared" si="8"/>
        <v>16455.706291131668</v>
      </c>
      <c r="T22" s="45">
        <v>1810.75</v>
      </c>
      <c r="U22" s="45">
        <v>357566042</v>
      </c>
      <c r="V22" s="45">
        <f t="shared" si="9"/>
        <v>14550.208298917305</v>
      </c>
      <c r="W22" s="45">
        <v>2542.42</v>
      </c>
      <c r="X22" s="46">
        <v>443912887</v>
      </c>
      <c r="Y22" s="182"/>
      <c r="Z22" s="155"/>
      <c r="AA22" s="44" t="s">
        <v>87</v>
      </c>
      <c r="AB22" s="45">
        <f t="shared" si="10"/>
        <v>109966.1572327044</v>
      </c>
      <c r="AC22" s="45">
        <f t="shared" si="18"/>
        <v>159</v>
      </c>
      <c r="AD22" s="45">
        <f t="shared" si="18"/>
        <v>17484619</v>
      </c>
      <c r="AE22" s="45">
        <f t="shared" si="11"/>
        <v>133218.43617021278</v>
      </c>
      <c r="AF22" s="45">
        <v>94</v>
      </c>
      <c r="AG22" s="45">
        <v>12522533</v>
      </c>
      <c r="AH22" s="45">
        <f t="shared" si="12"/>
        <v>76339.784615384619</v>
      </c>
      <c r="AI22" s="45">
        <v>65</v>
      </c>
      <c r="AJ22" s="46">
        <v>4962086</v>
      </c>
      <c r="AK22" s="182"/>
      <c r="AL22" s="155"/>
      <c r="AM22" s="44" t="s">
        <v>87</v>
      </c>
      <c r="AN22" s="45">
        <f t="shared" si="13"/>
        <v>946180.60606060608</v>
      </c>
      <c r="AO22" s="45">
        <f t="shared" si="19"/>
        <v>33</v>
      </c>
      <c r="AP22" s="45">
        <f t="shared" si="19"/>
        <v>31223960</v>
      </c>
      <c r="AQ22" s="45">
        <f t="shared" si="14"/>
        <v>1065291.7777777778</v>
      </c>
      <c r="AR22" s="45">
        <v>18</v>
      </c>
      <c r="AS22" s="45">
        <v>19175252</v>
      </c>
      <c r="AT22" s="45">
        <f t="shared" si="15"/>
        <v>803247.2</v>
      </c>
      <c r="AU22" s="45">
        <v>15</v>
      </c>
      <c r="AV22" s="46">
        <v>12048708</v>
      </c>
    </row>
    <row r="23" spans="1:48" ht="24" customHeight="1">
      <c r="A23" s="182"/>
      <c r="B23" s="155"/>
      <c r="C23" s="44" t="s">
        <v>88</v>
      </c>
      <c r="D23" s="45">
        <f t="shared" si="4"/>
        <v>1182596.0743801652</v>
      </c>
      <c r="E23" s="45">
        <f t="shared" si="16"/>
        <v>484</v>
      </c>
      <c r="F23" s="45">
        <f t="shared" si="16"/>
        <v>572376500</v>
      </c>
      <c r="G23" s="45">
        <f t="shared" si="5"/>
        <v>1250465.5606060605</v>
      </c>
      <c r="H23" s="45">
        <v>264</v>
      </c>
      <c r="I23" s="45">
        <v>330122908</v>
      </c>
      <c r="J23" s="45">
        <f t="shared" si="6"/>
        <v>1101152.6909090909</v>
      </c>
      <c r="K23" s="45">
        <v>220</v>
      </c>
      <c r="L23" s="46">
        <v>242253592</v>
      </c>
      <c r="M23" s="182"/>
      <c r="N23" s="155"/>
      <c r="O23" s="44" t="s">
        <v>88</v>
      </c>
      <c r="P23" s="45">
        <f t="shared" si="7"/>
        <v>14021.055428643951</v>
      </c>
      <c r="Q23" s="45">
        <v>735.42</v>
      </c>
      <c r="R23" s="45">
        <f t="shared" si="17"/>
        <v>123736375</v>
      </c>
      <c r="S23" s="45">
        <f t="shared" si="8"/>
        <v>14670.122933333332</v>
      </c>
      <c r="T23" s="45">
        <v>312.5</v>
      </c>
      <c r="U23" s="45">
        <v>55012961</v>
      </c>
      <c r="V23" s="45">
        <f t="shared" si="9"/>
        <v>13541.452678205491</v>
      </c>
      <c r="W23" s="45">
        <v>422.92</v>
      </c>
      <c r="X23" s="46">
        <v>68723414</v>
      </c>
      <c r="Y23" s="182"/>
      <c r="Z23" s="155"/>
      <c r="AA23" s="44" t="s">
        <v>88</v>
      </c>
      <c r="AB23" s="45">
        <f t="shared" si="10"/>
        <v>102039.5925925926</v>
      </c>
      <c r="AC23" s="45">
        <f t="shared" si="18"/>
        <v>27</v>
      </c>
      <c r="AD23" s="45">
        <f t="shared" si="18"/>
        <v>2755069</v>
      </c>
      <c r="AE23" s="45">
        <f t="shared" si="11"/>
        <v>142938.79999999999</v>
      </c>
      <c r="AF23" s="45">
        <v>15</v>
      </c>
      <c r="AG23" s="45">
        <v>2144082</v>
      </c>
      <c r="AH23" s="45">
        <f t="shared" si="12"/>
        <v>50915.583333333336</v>
      </c>
      <c r="AI23" s="45">
        <v>12</v>
      </c>
      <c r="AJ23" s="46">
        <v>610987</v>
      </c>
      <c r="AK23" s="182"/>
      <c r="AL23" s="155"/>
      <c r="AM23" s="44" t="s">
        <v>88</v>
      </c>
      <c r="AN23" s="45">
        <f t="shared" si="13"/>
        <v>1215830.5</v>
      </c>
      <c r="AO23" s="45">
        <f t="shared" si="19"/>
        <v>4</v>
      </c>
      <c r="AP23" s="45">
        <f t="shared" si="19"/>
        <v>4863322</v>
      </c>
      <c r="AQ23" s="45">
        <f t="shared" si="14"/>
        <v>901095</v>
      </c>
      <c r="AR23" s="45">
        <v>2</v>
      </c>
      <c r="AS23" s="45">
        <v>1802190</v>
      </c>
      <c r="AT23" s="45">
        <f t="shared" si="15"/>
        <v>1530566</v>
      </c>
      <c r="AU23" s="45">
        <v>2</v>
      </c>
      <c r="AV23" s="46">
        <v>3061132</v>
      </c>
    </row>
    <row r="24" spans="1:48" ht="24" customHeight="1">
      <c r="A24" s="182"/>
      <c r="B24" s="155"/>
      <c r="C24" s="44" t="s">
        <v>89</v>
      </c>
      <c r="D24" s="45">
        <f t="shared" si="4"/>
        <v>1482641.4786001418</v>
      </c>
      <c r="E24" s="45">
        <f t="shared" si="16"/>
        <v>4229</v>
      </c>
      <c r="F24" s="45">
        <f t="shared" si="16"/>
        <v>6270090813</v>
      </c>
      <c r="G24" s="45">
        <f t="shared" si="5"/>
        <v>1421404.7382103989</v>
      </c>
      <c r="H24" s="45">
        <v>1654</v>
      </c>
      <c r="I24" s="45">
        <v>2351003437</v>
      </c>
      <c r="J24" s="45">
        <f t="shared" si="6"/>
        <v>1521975.68</v>
      </c>
      <c r="K24" s="45">
        <v>2575</v>
      </c>
      <c r="L24" s="46">
        <v>3919087376</v>
      </c>
      <c r="M24" s="182"/>
      <c r="N24" s="155"/>
      <c r="O24" s="44" t="s">
        <v>89</v>
      </c>
      <c r="P24" s="45">
        <f t="shared" si="7"/>
        <v>17040.826239235237</v>
      </c>
      <c r="Q24" s="45">
        <v>6067.25</v>
      </c>
      <c r="R24" s="45">
        <f t="shared" si="17"/>
        <v>1240691436</v>
      </c>
      <c r="S24" s="45">
        <f t="shared" si="8"/>
        <v>17813.599900898575</v>
      </c>
      <c r="T24" s="45">
        <v>2401.58</v>
      </c>
      <c r="U24" s="45">
        <v>513369423</v>
      </c>
      <c r="V24" s="45">
        <f t="shared" si="9"/>
        <v>16534.540138637683</v>
      </c>
      <c r="W24" s="45">
        <v>3665.67</v>
      </c>
      <c r="X24" s="46">
        <v>727322013</v>
      </c>
      <c r="Y24" s="182"/>
      <c r="Z24" s="155"/>
      <c r="AA24" s="44" t="s">
        <v>89</v>
      </c>
      <c r="AB24" s="45">
        <f t="shared" si="10"/>
        <v>87750.126760563377</v>
      </c>
      <c r="AC24" s="45">
        <f t="shared" si="18"/>
        <v>213</v>
      </c>
      <c r="AD24" s="45">
        <f t="shared" si="18"/>
        <v>18690777</v>
      </c>
      <c r="AE24" s="45">
        <f t="shared" si="11"/>
        <v>97913.669565217395</v>
      </c>
      <c r="AF24" s="45">
        <v>115</v>
      </c>
      <c r="AG24" s="45">
        <v>11260072</v>
      </c>
      <c r="AH24" s="45">
        <f t="shared" si="12"/>
        <v>75823.520408163269</v>
      </c>
      <c r="AI24" s="45">
        <v>98</v>
      </c>
      <c r="AJ24" s="46">
        <v>7430705</v>
      </c>
      <c r="AK24" s="182"/>
      <c r="AL24" s="155"/>
      <c r="AM24" s="44" t="s">
        <v>89</v>
      </c>
      <c r="AN24" s="45">
        <f t="shared" si="13"/>
        <v>973993.8666666667</v>
      </c>
      <c r="AO24" s="45">
        <f t="shared" si="19"/>
        <v>30</v>
      </c>
      <c r="AP24" s="45">
        <f t="shared" si="19"/>
        <v>29219816</v>
      </c>
      <c r="AQ24" s="45">
        <f t="shared" si="14"/>
        <v>1133937.6666666667</v>
      </c>
      <c r="AR24" s="45">
        <v>15</v>
      </c>
      <c r="AS24" s="45">
        <v>17009065</v>
      </c>
      <c r="AT24" s="45">
        <f t="shared" si="15"/>
        <v>814050.06666666665</v>
      </c>
      <c r="AU24" s="45">
        <v>15</v>
      </c>
      <c r="AV24" s="46">
        <v>12210751</v>
      </c>
    </row>
    <row r="25" spans="1:48" ht="24" customHeight="1">
      <c r="A25" s="182"/>
      <c r="B25" s="155"/>
      <c r="C25" s="44" t="s">
        <v>90</v>
      </c>
      <c r="D25" s="45">
        <f t="shared" si="4"/>
        <v>1359151.7129758266</v>
      </c>
      <c r="E25" s="45">
        <f t="shared" si="16"/>
        <v>3599</v>
      </c>
      <c r="F25" s="45">
        <f t="shared" si="16"/>
        <v>4891587015</v>
      </c>
      <c r="G25" s="45">
        <f t="shared" si="5"/>
        <v>1359390.00973236</v>
      </c>
      <c r="H25" s="45">
        <v>1644</v>
      </c>
      <c r="I25" s="45">
        <v>2234837176</v>
      </c>
      <c r="J25" s="45">
        <f t="shared" si="6"/>
        <v>1358951.3242966752</v>
      </c>
      <c r="K25" s="45">
        <v>1955</v>
      </c>
      <c r="L25" s="46">
        <v>2656749839</v>
      </c>
      <c r="M25" s="182"/>
      <c r="N25" s="155"/>
      <c r="O25" s="44" t="s">
        <v>90</v>
      </c>
      <c r="P25" s="45">
        <f t="shared" si="7"/>
        <v>15250.900613398937</v>
      </c>
      <c r="Q25" s="45">
        <v>4841.33</v>
      </c>
      <c r="R25" s="45">
        <f t="shared" si="17"/>
        <v>886015712</v>
      </c>
      <c r="S25" s="45">
        <f t="shared" si="8"/>
        <v>15975.929392073456</v>
      </c>
      <c r="T25" s="45">
        <v>2332.08</v>
      </c>
      <c r="U25" s="45">
        <v>447085745</v>
      </c>
      <c r="V25" s="45">
        <f t="shared" si="9"/>
        <v>14577.063764072931</v>
      </c>
      <c r="W25" s="45">
        <v>2509.25</v>
      </c>
      <c r="X25" s="46">
        <v>438929967</v>
      </c>
      <c r="Y25" s="182"/>
      <c r="Z25" s="155"/>
      <c r="AA25" s="44" t="s">
        <v>90</v>
      </c>
      <c r="AB25" s="45">
        <f t="shared" si="10"/>
        <v>118690.92976588629</v>
      </c>
      <c r="AC25" s="45">
        <f t="shared" si="18"/>
        <v>299</v>
      </c>
      <c r="AD25" s="45">
        <f t="shared" si="18"/>
        <v>35488588</v>
      </c>
      <c r="AE25" s="45">
        <f t="shared" si="11"/>
        <v>151889.57894736843</v>
      </c>
      <c r="AF25" s="45">
        <v>152</v>
      </c>
      <c r="AG25" s="45">
        <v>23087216</v>
      </c>
      <c r="AH25" s="45">
        <f t="shared" si="12"/>
        <v>84363.074829931968</v>
      </c>
      <c r="AI25" s="45">
        <v>147</v>
      </c>
      <c r="AJ25" s="46">
        <v>12401372</v>
      </c>
      <c r="AK25" s="182"/>
      <c r="AL25" s="155"/>
      <c r="AM25" s="44" t="s">
        <v>90</v>
      </c>
      <c r="AN25" s="45">
        <f t="shared" si="13"/>
        <v>1069891.375</v>
      </c>
      <c r="AO25" s="45">
        <f t="shared" si="19"/>
        <v>24</v>
      </c>
      <c r="AP25" s="45">
        <f t="shared" si="19"/>
        <v>25677393</v>
      </c>
      <c r="AQ25" s="45">
        <f t="shared" si="14"/>
        <v>1142745.6470588236</v>
      </c>
      <c r="AR25" s="45">
        <v>17</v>
      </c>
      <c r="AS25" s="45">
        <v>19426676</v>
      </c>
      <c r="AT25" s="45">
        <f t="shared" si="15"/>
        <v>892959.57142857148</v>
      </c>
      <c r="AU25" s="45">
        <v>7</v>
      </c>
      <c r="AV25" s="46">
        <v>6250717</v>
      </c>
    </row>
    <row r="26" spans="1:48" ht="24" customHeight="1">
      <c r="A26" s="182"/>
      <c r="B26" s="155"/>
      <c r="C26" s="44" t="s">
        <v>91</v>
      </c>
      <c r="D26" s="45">
        <f t="shared" si="4"/>
        <v>1279516.4545840407</v>
      </c>
      <c r="E26" s="45">
        <f t="shared" si="16"/>
        <v>2356</v>
      </c>
      <c r="F26" s="45">
        <f t="shared" si="16"/>
        <v>3014540767</v>
      </c>
      <c r="G26" s="45">
        <f t="shared" si="5"/>
        <v>1318217.6398940864</v>
      </c>
      <c r="H26" s="45">
        <v>1133</v>
      </c>
      <c r="I26" s="45">
        <v>1493540586</v>
      </c>
      <c r="J26" s="45">
        <f t="shared" si="6"/>
        <v>1243663.271463614</v>
      </c>
      <c r="K26" s="45">
        <v>1223</v>
      </c>
      <c r="L26" s="46">
        <v>1521000181</v>
      </c>
      <c r="M26" s="182"/>
      <c r="N26" s="155"/>
      <c r="O26" s="44" t="s">
        <v>91</v>
      </c>
      <c r="P26" s="45">
        <f t="shared" si="7"/>
        <v>14339.225812166944</v>
      </c>
      <c r="Q26" s="45">
        <v>4402.42</v>
      </c>
      <c r="R26" s="45">
        <f t="shared" si="17"/>
        <v>757527534</v>
      </c>
      <c r="S26" s="45">
        <f t="shared" si="8"/>
        <v>15134.652624510572</v>
      </c>
      <c r="T26" s="45">
        <v>2025.33</v>
      </c>
      <c r="U26" s="45">
        <v>367831992</v>
      </c>
      <c r="V26" s="45">
        <f t="shared" si="9"/>
        <v>13661.563136284853</v>
      </c>
      <c r="W26" s="45">
        <v>2377.08</v>
      </c>
      <c r="X26" s="46">
        <v>389695542</v>
      </c>
      <c r="Y26" s="182"/>
      <c r="Z26" s="155"/>
      <c r="AA26" s="44" t="s">
        <v>91</v>
      </c>
      <c r="AB26" s="45">
        <f t="shared" si="10"/>
        <v>80486.47810218978</v>
      </c>
      <c r="AC26" s="45">
        <f t="shared" si="18"/>
        <v>274</v>
      </c>
      <c r="AD26" s="45">
        <f t="shared" si="18"/>
        <v>22053295</v>
      </c>
      <c r="AE26" s="45">
        <f t="shared" si="11"/>
        <v>90456.92567567568</v>
      </c>
      <c r="AF26" s="45">
        <v>148</v>
      </c>
      <c r="AG26" s="45">
        <v>13387625</v>
      </c>
      <c r="AH26" s="45">
        <f t="shared" si="12"/>
        <v>68775.158730158728</v>
      </c>
      <c r="AI26" s="45">
        <v>126</v>
      </c>
      <c r="AJ26" s="46">
        <v>8665670</v>
      </c>
      <c r="AK26" s="182"/>
      <c r="AL26" s="155"/>
      <c r="AM26" s="44" t="s">
        <v>91</v>
      </c>
      <c r="AN26" s="45">
        <f t="shared" si="13"/>
        <v>788862.5</v>
      </c>
      <c r="AO26" s="45">
        <f t="shared" si="19"/>
        <v>32</v>
      </c>
      <c r="AP26" s="45">
        <f t="shared" si="19"/>
        <v>25243600</v>
      </c>
      <c r="AQ26" s="45">
        <f t="shared" si="14"/>
        <v>872544.88888888888</v>
      </c>
      <c r="AR26" s="45">
        <v>18</v>
      </c>
      <c r="AS26" s="45">
        <v>15705808</v>
      </c>
      <c r="AT26" s="45">
        <f t="shared" si="15"/>
        <v>681270.85714285716</v>
      </c>
      <c r="AU26" s="45">
        <v>14</v>
      </c>
      <c r="AV26" s="46">
        <v>9537792</v>
      </c>
    </row>
    <row r="27" spans="1:48" ht="24" customHeight="1">
      <c r="A27" s="182"/>
      <c r="B27" s="155"/>
      <c r="C27" s="44" t="s">
        <v>92</v>
      </c>
      <c r="D27" s="45">
        <f t="shared" si="4"/>
        <v>1317078.3388429752</v>
      </c>
      <c r="E27" s="45">
        <f t="shared" si="16"/>
        <v>121</v>
      </c>
      <c r="F27" s="45">
        <f t="shared" si="16"/>
        <v>159366479</v>
      </c>
      <c r="G27" s="45">
        <f t="shared" si="5"/>
        <v>1393735.8478260869</v>
      </c>
      <c r="H27" s="45">
        <v>92</v>
      </c>
      <c r="I27" s="45">
        <v>128223698</v>
      </c>
      <c r="J27" s="45">
        <f t="shared" si="6"/>
        <v>1073889</v>
      </c>
      <c r="K27" s="45">
        <v>29</v>
      </c>
      <c r="L27" s="46">
        <v>31142781</v>
      </c>
      <c r="M27" s="182"/>
      <c r="N27" s="155"/>
      <c r="O27" s="44" t="s">
        <v>92</v>
      </c>
      <c r="P27" s="45">
        <f t="shared" si="7"/>
        <v>15177.841232767461</v>
      </c>
      <c r="Q27" s="45">
        <v>351.08</v>
      </c>
      <c r="R27" s="45">
        <f t="shared" si="17"/>
        <v>63943638</v>
      </c>
      <c r="S27" s="45">
        <f t="shared" si="8"/>
        <v>17907.705813905166</v>
      </c>
      <c r="T27" s="45">
        <v>160.41999999999999</v>
      </c>
      <c r="U27" s="45">
        <v>34473050</v>
      </c>
      <c r="V27" s="45">
        <f t="shared" si="9"/>
        <v>12880.276568591458</v>
      </c>
      <c r="W27" s="45">
        <v>190.67</v>
      </c>
      <c r="X27" s="46">
        <v>29470588</v>
      </c>
      <c r="Y27" s="182"/>
      <c r="Z27" s="155"/>
      <c r="AA27" s="44" t="s">
        <v>92</v>
      </c>
      <c r="AB27" s="45">
        <f t="shared" si="10"/>
        <v>137112.77777777778</v>
      </c>
      <c r="AC27" s="45">
        <f t="shared" si="18"/>
        <v>9</v>
      </c>
      <c r="AD27" s="45">
        <f t="shared" si="18"/>
        <v>1234015</v>
      </c>
      <c r="AE27" s="45">
        <f t="shared" si="11"/>
        <v>162028</v>
      </c>
      <c r="AF27" s="45">
        <v>6</v>
      </c>
      <c r="AG27" s="45">
        <v>972168</v>
      </c>
      <c r="AH27" s="45">
        <f t="shared" si="12"/>
        <v>87282.333333333328</v>
      </c>
      <c r="AI27" s="45">
        <v>3</v>
      </c>
      <c r="AJ27" s="46">
        <v>261847</v>
      </c>
      <c r="AK27" s="182"/>
      <c r="AL27" s="155"/>
      <c r="AM27" s="44" t="s">
        <v>92</v>
      </c>
      <c r="AN27" s="45">
        <f t="shared" si="13"/>
        <v>375607.33333333331</v>
      </c>
      <c r="AO27" s="45">
        <f t="shared" si="19"/>
        <v>3</v>
      </c>
      <c r="AP27" s="45">
        <f t="shared" si="19"/>
        <v>1126822</v>
      </c>
      <c r="AQ27" s="45">
        <f t="shared" si="14"/>
        <v>369934.5</v>
      </c>
      <c r="AR27" s="45">
        <v>2</v>
      </c>
      <c r="AS27" s="45">
        <v>739869</v>
      </c>
      <c r="AT27" s="45">
        <f t="shared" si="15"/>
        <v>386953</v>
      </c>
      <c r="AU27" s="45">
        <v>1</v>
      </c>
      <c r="AV27" s="46">
        <v>386953</v>
      </c>
    </row>
    <row r="28" spans="1:48" ht="24" customHeight="1">
      <c r="A28" s="183"/>
      <c r="B28" s="156"/>
      <c r="C28" s="44" t="s">
        <v>93</v>
      </c>
      <c r="D28" s="45">
        <f t="shared" si="4"/>
        <v>907912.75</v>
      </c>
      <c r="E28" s="45">
        <f t="shared" si="16"/>
        <v>12</v>
      </c>
      <c r="F28" s="45">
        <f t="shared" si="16"/>
        <v>10894953</v>
      </c>
      <c r="G28" s="45">
        <f t="shared" si="5"/>
        <v>1138450.2</v>
      </c>
      <c r="H28" s="45">
        <v>5</v>
      </c>
      <c r="I28" s="45">
        <v>5692251</v>
      </c>
      <c r="J28" s="45">
        <f t="shared" si="6"/>
        <v>743243.14285714284</v>
      </c>
      <c r="K28" s="45">
        <v>7</v>
      </c>
      <c r="L28" s="46">
        <v>5202702</v>
      </c>
      <c r="M28" s="183"/>
      <c r="N28" s="156"/>
      <c r="O28" s="44" t="s">
        <v>93</v>
      </c>
      <c r="P28" s="45">
        <f t="shared" si="7"/>
        <v>12896.02322620302</v>
      </c>
      <c r="Q28" s="45">
        <v>75.92</v>
      </c>
      <c r="R28" s="45">
        <f t="shared" si="17"/>
        <v>11748793</v>
      </c>
      <c r="S28" s="45">
        <f t="shared" si="8"/>
        <v>14413.875113645758</v>
      </c>
      <c r="T28" s="45">
        <v>40.33</v>
      </c>
      <c r="U28" s="45">
        <v>6975739</v>
      </c>
      <c r="V28" s="45">
        <f t="shared" si="9"/>
        <v>11179.15964024733</v>
      </c>
      <c r="W28" s="45">
        <v>35.58</v>
      </c>
      <c r="X28" s="46">
        <v>4773054</v>
      </c>
      <c r="Y28" s="183"/>
      <c r="Z28" s="156"/>
      <c r="AA28" s="44" t="s">
        <v>93</v>
      </c>
      <c r="AB28" s="45">
        <f t="shared" si="10"/>
        <v>128032</v>
      </c>
      <c r="AC28" s="45">
        <f t="shared" si="18"/>
        <v>1</v>
      </c>
      <c r="AD28" s="45">
        <f t="shared" si="18"/>
        <v>128032</v>
      </c>
      <c r="AE28" s="45">
        <v>0</v>
      </c>
      <c r="AF28" s="45">
        <v>0</v>
      </c>
      <c r="AG28" s="45">
        <v>0</v>
      </c>
      <c r="AH28" s="45">
        <f t="shared" si="12"/>
        <v>128032</v>
      </c>
      <c r="AI28" s="45">
        <v>1</v>
      </c>
      <c r="AJ28" s="46">
        <v>128032</v>
      </c>
      <c r="AK28" s="183"/>
      <c r="AL28" s="156"/>
      <c r="AM28" s="44" t="s">
        <v>93</v>
      </c>
      <c r="AN28" s="45">
        <f t="shared" si="13"/>
        <v>241998</v>
      </c>
      <c r="AO28" s="45">
        <f t="shared" si="19"/>
        <v>1</v>
      </c>
      <c r="AP28" s="45">
        <f t="shared" si="19"/>
        <v>241998</v>
      </c>
      <c r="AQ28" s="45">
        <f t="shared" si="14"/>
        <v>241998</v>
      </c>
      <c r="AR28" s="45">
        <v>1</v>
      </c>
      <c r="AS28" s="45">
        <v>241998</v>
      </c>
      <c r="AT28" s="45">
        <v>0</v>
      </c>
      <c r="AU28" s="45">
        <v>0</v>
      </c>
      <c r="AV28" s="46">
        <v>0</v>
      </c>
    </row>
    <row r="29" spans="1:48" ht="28.9" customHeight="1">
      <c r="A29" s="176" t="s">
        <v>145</v>
      </c>
      <c r="B29" s="161" t="s">
        <v>63</v>
      </c>
      <c r="C29" s="41" t="s">
        <v>76</v>
      </c>
      <c r="D29" s="42">
        <f t="shared" si="4"/>
        <v>1274427.1440169716</v>
      </c>
      <c r="E29" s="42">
        <f>SUM(E30:E38)</f>
        <v>136227</v>
      </c>
      <c r="F29" s="42">
        <f>SUM(F30:F38)</f>
        <v>173611386548</v>
      </c>
      <c r="G29" s="42">
        <f t="shared" si="5"/>
        <v>1293792.3362282277</v>
      </c>
      <c r="H29" s="42">
        <f>SUM(H30:H38)</f>
        <v>61833</v>
      </c>
      <c r="I29" s="42">
        <f>SUM(I30:I38)</f>
        <v>79999061526</v>
      </c>
      <c r="J29" s="42">
        <f t="shared" si="6"/>
        <v>1258331.6533860257</v>
      </c>
      <c r="K29" s="42">
        <f>SUM(K30:K38)</f>
        <v>74394</v>
      </c>
      <c r="L29" s="43">
        <f>SUM(L30:L38)</f>
        <v>93612325022</v>
      </c>
      <c r="M29" s="176" t="s">
        <v>146</v>
      </c>
      <c r="N29" s="161" t="s">
        <v>63</v>
      </c>
      <c r="O29" s="41" t="s">
        <v>76</v>
      </c>
      <c r="P29" s="42">
        <f>R29/Q29/12</f>
        <v>14548.187107041887</v>
      </c>
      <c r="Q29" s="42">
        <v>244908.42</v>
      </c>
      <c r="R29" s="42">
        <f>SUM(R30:R38)</f>
        <v>42755682219</v>
      </c>
      <c r="S29" s="42">
        <f>U29/T29/12</f>
        <v>15577.706342598321</v>
      </c>
      <c r="T29" s="42">
        <v>119203.25</v>
      </c>
      <c r="U29" s="42">
        <f>SUM(U30:U38)</f>
        <v>22282958683</v>
      </c>
      <c r="V29" s="42">
        <f>X29/W29/12</f>
        <v>13571.918280422886</v>
      </c>
      <c r="W29" s="42">
        <v>125705.17</v>
      </c>
      <c r="X29" s="43">
        <f>SUM(X30:X38)</f>
        <v>20472723536</v>
      </c>
      <c r="Y29" s="176" t="s">
        <v>150</v>
      </c>
      <c r="Z29" s="161" t="s">
        <v>63</v>
      </c>
      <c r="AA29" s="41" t="s">
        <v>76</v>
      </c>
      <c r="AB29" s="42">
        <f t="shared" si="10"/>
        <v>100756.13989560764</v>
      </c>
      <c r="AC29" s="42">
        <f>SUM(AC30:AC38)</f>
        <v>20308</v>
      </c>
      <c r="AD29" s="42">
        <f>SUM(AD30:AD38)</f>
        <v>2046155689</v>
      </c>
      <c r="AE29" s="42">
        <f t="shared" si="11"/>
        <v>122904.9510795565</v>
      </c>
      <c r="AF29" s="42">
        <f>SUM(AF30:AF38)</f>
        <v>10282</v>
      </c>
      <c r="AG29" s="42">
        <f>SUM(AG30:AG38)</f>
        <v>1263708707</v>
      </c>
      <c r="AH29" s="42">
        <f t="shared" si="12"/>
        <v>78041.789547177337</v>
      </c>
      <c r="AI29" s="42">
        <f>SUM(AI30:AI38)</f>
        <v>10026</v>
      </c>
      <c r="AJ29" s="43">
        <f>SUM(AJ30:AJ38)</f>
        <v>782446982</v>
      </c>
      <c r="AK29" s="176" t="s">
        <v>152</v>
      </c>
      <c r="AL29" s="161" t="s">
        <v>63</v>
      </c>
      <c r="AM29" s="41" t="s">
        <v>76</v>
      </c>
      <c r="AN29" s="42">
        <f t="shared" si="13"/>
        <v>881859.07148530579</v>
      </c>
      <c r="AO29" s="42">
        <f>SUM(AO30:AO38)</f>
        <v>1259</v>
      </c>
      <c r="AP29" s="42">
        <f>SUM(AP30:AP38)</f>
        <v>1110260571</v>
      </c>
      <c r="AQ29" s="42">
        <f t="shared" si="14"/>
        <v>950323.15724815719</v>
      </c>
      <c r="AR29" s="42">
        <f>SUM(AR30:AR38)</f>
        <v>814</v>
      </c>
      <c r="AS29" s="42">
        <f>SUM(AS30:AS38)</f>
        <v>773563050</v>
      </c>
      <c r="AT29" s="42">
        <f t="shared" si="15"/>
        <v>756623.64269662916</v>
      </c>
      <c r="AU29" s="42">
        <f>SUM(AU30:AU38)</f>
        <v>445</v>
      </c>
      <c r="AV29" s="43">
        <f>SUM(AV30:AV38)</f>
        <v>336697521</v>
      </c>
    </row>
    <row r="30" spans="1:48" ht="28.9" customHeight="1">
      <c r="A30" s="177"/>
      <c r="B30" s="162"/>
      <c r="C30" s="51" t="s">
        <v>137</v>
      </c>
      <c r="D30" s="45">
        <v>0</v>
      </c>
      <c r="E30" s="45">
        <f t="shared" ref="E30:F38" si="20">H30+K30</f>
        <v>0</v>
      </c>
      <c r="F30" s="45">
        <f t="shared" si="20"/>
        <v>0</v>
      </c>
      <c r="G30" s="45">
        <v>0</v>
      </c>
      <c r="H30" s="45">
        <v>0</v>
      </c>
      <c r="I30" s="45">
        <v>0</v>
      </c>
      <c r="J30" s="45">
        <v>0</v>
      </c>
      <c r="K30" s="45">
        <v>0</v>
      </c>
      <c r="L30" s="46">
        <v>0</v>
      </c>
      <c r="M30" s="177"/>
      <c r="N30" s="162"/>
      <c r="O30" s="51" t="s">
        <v>137</v>
      </c>
      <c r="P30" s="45">
        <v>0</v>
      </c>
      <c r="Q30" s="45">
        <v>0</v>
      </c>
      <c r="R30" s="45">
        <f t="shared" ref="R30:R38" si="21">U30+X30</f>
        <v>0</v>
      </c>
      <c r="S30" s="45">
        <v>0</v>
      </c>
      <c r="T30" s="45">
        <v>0</v>
      </c>
      <c r="U30" s="45">
        <v>0</v>
      </c>
      <c r="V30" s="45">
        <v>0</v>
      </c>
      <c r="W30" s="45">
        <v>0</v>
      </c>
      <c r="X30" s="46">
        <v>0</v>
      </c>
      <c r="Y30" s="177"/>
      <c r="Z30" s="162"/>
      <c r="AA30" s="51" t="s">
        <v>137</v>
      </c>
      <c r="AB30" s="45">
        <v>0</v>
      </c>
      <c r="AC30" s="45">
        <f t="shared" ref="AC30:AD38" si="22">AF30+AI30</f>
        <v>0</v>
      </c>
      <c r="AD30" s="45">
        <f t="shared" si="22"/>
        <v>0</v>
      </c>
      <c r="AE30" s="45">
        <v>0</v>
      </c>
      <c r="AF30" s="45">
        <v>0</v>
      </c>
      <c r="AG30" s="45">
        <v>0</v>
      </c>
      <c r="AH30" s="45">
        <v>0</v>
      </c>
      <c r="AI30" s="45">
        <v>0</v>
      </c>
      <c r="AJ30" s="46">
        <v>0</v>
      </c>
      <c r="AK30" s="177"/>
      <c r="AL30" s="162"/>
      <c r="AM30" s="51" t="s">
        <v>137</v>
      </c>
      <c r="AN30" s="45">
        <v>0</v>
      </c>
      <c r="AO30" s="45">
        <f t="shared" ref="AO30:AP38" si="23">AR30+AU30</f>
        <v>0</v>
      </c>
      <c r="AP30" s="45">
        <f t="shared" si="23"/>
        <v>0</v>
      </c>
      <c r="AQ30" s="45">
        <v>0</v>
      </c>
      <c r="AR30" s="45">
        <v>0</v>
      </c>
      <c r="AS30" s="45">
        <v>0</v>
      </c>
      <c r="AT30" s="45">
        <v>0</v>
      </c>
      <c r="AU30" s="45">
        <v>0</v>
      </c>
      <c r="AV30" s="46">
        <v>0</v>
      </c>
    </row>
    <row r="31" spans="1:48" ht="28.9" customHeight="1">
      <c r="A31" s="177"/>
      <c r="B31" s="162"/>
      <c r="C31" s="44" t="s">
        <v>112</v>
      </c>
      <c r="D31" s="45">
        <f t="shared" si="4"/>
        <v>1007758.8461538461</v>
      </c>
      <c r="E31" s="45">
        <f t="shared" si="20"/>
        <v>13</v>
      </c>
      <c r="F31" s="45">
        <f t="shared" si="20"/>
        <v>13100865</v>
      </c>
      <c r="G31" s="45">
        <f t="shared" si="5"/>
        <v>873938.16666666663</v>
      </c>
      <c r="H31" s="45">
        <v>6</v>
      </c>
      <c r="I31" s="45">
        <v>5243629</v>
      </c>
      <c r="J31" s="45">
        <f t="shared" si="6"/>
        <v>1122462.2857142857</v>
      </c>
      <c r="K31" s="45">
        <v>7</v>
      </c>
      <c r="L31" s="46">
        <v>7857236</v>
      </c>
      <c r="M31" s="177"/>
      <c r="N31" s="162"/>
      <c r="O31" s="44" t="s">
        <v>112</v>
      </c>
      <c r="P31" s="45">
        <v>0</v>
      </c>
      <c r="Q31" s="45">
        <v>0</v>
      </c>
      <c r="R31" s="45">
        <f t="shared" si="21"/>
        <v>0</v>
      </c>
      <c r="S31" s="45">
        <v>0</v>
      </c>
      <c r="T31" s="45">
        <v>0</v>
      </c>
      <c r="U31" s="45">
        <v>0</v>
      </c>
      <c r="V31" s="45">
        <v>0</v>
      </c>
      <c r="W31" s="45">
        <v>0</v>
      </c>
      <c r="X31" s="46">
        <v>0</v>
      </c>
      <c r="Y31" s="177"/>
      <c r="Z31" s="162"/>
      <c r="AA31" s="44" t="s">
        <v>112</v>
      </c>
      <c r="AB31" s="45">
        <v>0</v>
      </c>
      <c r="AC31" s="45">
        <f t="shared" si="22"/>
        <v>0</v>
      </c>
      <c r="AD31" s="45">
        <f t="shared" si="22"/>
        <v>0</v>
      </c>
      <c r="AE31" s="45">
        <v>0</v>
      </c>
      <c r="AF31" s="45">
        <v>0</v>
      </c>
      <c r="AG31" s="45">
        <v>0</v>
      </c>
      <c r="AH31" s="45">
        <v>0</v>
      </c>
      <c r="AI31" s="45">
        <v>0</v>
      </c>
      <c r="AJ31" s="46">
        <v>0</v>
      </c>
      <c r="AK31" s="177"/>
      <c r="AL31" s="162"/>
      <c r="AM31" s="44" t="s">
        <v>112</v>
      </c>
      <c r="AN31" s="45">
        <v>0</v>
      </c>
      <c r="AO31" s="45">
        <f t="shared" si="23"/>
        <v>0</v>
      </c>
      <c r="AP31" s="45">
        <f t="shared" si="23"/>
        <v>0</v>
      </c>
      <c r="AQ31" s="45">
        <v>0</v>
      </c>
      <c r="AR31" s="45">
        <v>0</v>
      </c>
      <c r="AS31" s="45">
        <v>0</v>
      </c>
      <c r="AT31" s="45">
        <v>0</v>
      </c>
      <c r="AU31" s="45">
        <v>0</v>
      </c>
      <c r="AV31" s="46">
        <v>0</v>
      </c>
    </row>
    <row r="32" spans="1:48" ht="28.9" customHeight="1">
      <c r="A32" s="177"/>
      <c r="B32" s="162"/>
      <c r="C32" s="44" t="s">
        <v>113</v>
      </c>
      <c r="D32" s="45">
        <f t="shared" si="4"/>
        <v>1234693.9578246393</v>
      </c>
      <c r="E32" s="45">
        <f t="shared" si="20"/>
        <v>901</v>
      </c>
      <c r="F32" s="45">
        <f t="shared" si="20"/>
        <v>1112459256</v>
      </c>
      <c r="G32" s="45">
        <f t="shared" si="5"/>
        <v>1158961.5384615385</v>
      </c>
      <c r="H32" s="45">
        <v>273</v>
      </c>
      <c r="I32" s="45">
        <v>316396500</v>
      </c>
      <c r="J32" s="45">
        <f t="shared" si="6"/>
        <v>1267615.8535031846</v>
      </c>
      <c r="K32" s="45">
        <v>628</v>
      </c>
      <c r="L32" s="46">
        <v>796062756</v>
      </c>
      <c r="M32" s="177"/>
      <c r="N32" s="162"/>
      <c r="O32" s="44" t="s">
        <v>113</v>
      </c>
      <c r="P32" s="45">
        <v>0</v>
      </c>
      <c r="Q32" s="45">
        <v>0</v>
      </c>
      <c r="R32" s="45">
        <f t="shared" si="21"/>
        <v>0</v>
      </c>
      <c r="S32" s="45">
        <v>0</v>
      </c>
      <c r="T32" s="45">
        <v>0</v>
      </c>
      <c r="U32" s="45">
        <v>0</v>
      </c>
      <c r="V32" s="45">
        <v>0</v>
      </c>
      <c r="W32" s="45">
        <v>0</v>
      </c>
      <c r="X32" s="46">
        <v>0</v>
      </c>
      <c r="Y32" s="177"/>
      <c r="Z32" s="162"/>
      <c r="AA32" s="44" t="s">
        <v>113</v>
      </c>
      <c r="AB32" s="45">
        <v>0</v>
      </c>
      <c r="AC32" s="45">
        <f t="shared" si="22"/>
        <v>0</v>
      </c>
      <c r="AD32" s="45">
        <f t="shared" si="22"/>
        <v>0</v>
      </c>
      <c r="AE32" s="45">
        <v>0</v>
      </c>
      <c r="AF32" s="45">
        <v>0</v>
      </c>
      <c r="AG32" s="45">
        <v>0</v>
      </c>
      <c r="AH32" s="45">
        <v>0</v>
      </c>
      <c r="AI32" s="45">
        <v>0</v>
      </c>
      <c r="AJ32" s="46">
        <v>0</v>
      </c>
      <c r="AK32" s="177"/>
      <c r="AL32" s="162"/>
      <c r="AM32" s="44" t="s">
        <v>113</v>
      </c>
      <c r="AN32" s="45">
        <v>0</v>
      </c>
      <c r="AO32" s="45">
        <f t="shared" si="23"/>
        <v>0</v>
      </c>
      <c r="AP32" s="45">
        <f t="shared" si="23"/>
        <v>0</v>
      </c>
      <c r="AQ32" s="45">
        <v>0</v>
      </c>
      <c r="AR32" s="45">
        <v>0</v>
      </c>
      <c r="AS32" s="45">
        <v>0</v>
      </c>
      <c r="AT32" s="45">
        <v>0</v>
      </c>
      <c r="AU32" s="45">
        <v>0</v>
      </c>
      <c r="AV32" s="46">
        <v>0</v>
      </c>
    </row>
    <row r="33" spans="1:48" ht="28.9" customHeight="1">
      <c r="A33" s="177"/>
      <c r="B33" s="162"/>
      <c r="C33" s="44" t="s">
        <v>114</v>
      </c>
      <c r="D33" s="45">
        <f t="shared" si="4"/>
        <v>1472488.2252736317</v>
      </c>
      <c r="E33" s="45">
        <f t="shared" si="20"/>
        <v>5025</v>
      </c>
      <c r="F33" s="45">
        <f t="shared" si="20"/>
        <v>7399253332</v>
      </c>
      <c r="G33" s="45">
        <f t="shared" si="5"/>
        <v>1454984.2892366049</v>
      </c>
      <c r="H33" s="45">
        <v>2109</v>
      </c>
      <c r="I33" s="45">
        <v>3068561866</v>
      </c>
      <c r="J33" s="45">
        <f t="shared" si="6"/>
        <v>1485147.965020576</v>
      </c>
      <c r="K33" s="45">
        <v>2916</v>
      </c>
      <c r="L33" s="46">
        <v>4330691466</v>
      </c>
      <c r="M33" s="177"/>
      <c r="N33" s="162"/>
      <c r="O33" s="44" t="s">
        <v>114</v>
      </c>
      <c r="P33" s="45">
        <v>0</v>
      </c>
      <c r="Q33" s="45">
        <v>0</v>
      </c>
      <c r="R33" s="45">
        <f t="shared" si="21"/>
        <v>0</v>
      </c>
      <c r="S33" s="45">
        <v>0</v>
      </c>
      <c r="T33" s="45">
        <v>0</v>
      </c>
      <c r="U33" s="45">
        <v>0</v>
      </c>
      <c r="V33" s="45">
        <v>0</v>
      </c>
      <c r="W33" s="45">
        <v>0</v>
      </c>
      <c r="X33" s="46">
        <v>0</v>
      </c>
      <c r="Y33" s="177"/>
      <c r="Z33" s="162"/>
      <c r="AA33" s="44" t="s">
        <v>114</v>
      </c>
      <c r="AB33" s="45">
        <v>0</v>
      </c>
      <c r="AC33" s="45">
        <f t="shared" si="22"/>
        <v>0</v>
      </c>
      <c r="AD33" s="45">
        <f t="shared" si="22"/>
        <v>0</v>
      </c>
      <c r="AE33" s="45">
        <v>0</v>
      </c>
      <c r="AF33" s="45">
        <v>0</v>
      </c>
      <c r="AG33" s="45">
        <v>0</v>
      </c>
      <c r="AH33" s="45">
        <v>0</v>
      </c>
      <c r="AI33" s="45">
        <v>0</v>
      </c>
      <c r="AJ33" s="46">
        <v>0</v>
      </c>
      <c r="AK33" s="177"/>
      <c r="AL33" s="162"/>
      <c r="AM33" s="44" t="s">
        <v>114</v>
      </c>
      <c r="AN33" s="45">
        <v>0</v>
      </c>
      <c r="AO33" s="45">
        <f t="shared" si="23"/>
        <v>0</v>
      </c>
      <c r="AP33" s="45">
        <f t="shared" si="23"/>
        <v>0</v>
      </c>
      <c r="AQ33" s="45">
        <v>0</v>
      </c>
      <c r="AR33" s="45">
        <v>0</v>
      </c>
      <c r="AS33" s="45">
        <v>0</v>
      </c>
      <c r="AT33" s="45">
        <v>0</v>
      </c>
      <c r="AU33" s="45">
        <v>0</v>
      </c>
      <c r="AV33" s="46">
        <v>0</v>
      </c>
    </row>
    <row r="34" spans="1:48" ht="28.9" customHeight="1">
      <c r="A34" s="177"/>
      <c r="B34" s="162"/>
      <c r="C34" s="44" t="s">
        <v>115</v>
      </c>
      <c r="D34" s="45">
        <f t="shared" si="4"/>
        <v>1433986.022880015</v>
      </c>
      <c r="E34" s="45">
        <f t="shared" si="20"/>
        <v>53715</v>
      </c>
      <c r="F34" s="45">
        <f t="shared" si="20"/>
        <v>77026559219</v>
      </c>
      <c r="G34" s="45">
        <f t="shared" si="5"/>
        <v>1446286.1121786318</v>
      </c>
      <c r="H34" s="45">
        <v>22482</v>
      </c>
      <c r="I34" s="45">
        <v>32515404374</v>
      </c>
      <c r="J34" s="45">
        <f t="shared" si="6"/>
        <v>1425132.2269714724</v>
      </c>
      <c r="K34" s="45">
        <v>31233</v>
      </c>
      <c r="L34" s="46">
        <v>44511154845</v>
      </c>
      <c r="M34" s="177"/>
      <c r="N34" s="162"/>
      <c r="O34" s="44" t="s">
        <v>115</v>
      </c>
      <c r="P34" s="45">
        <v>0</v>
      </c>
      <c r="Q34" s="45">
        <v>0</v>
      </c>
      <c r="R34" s="45">
        <f t="shared" si="21"/>
        <v>0</v>
      </c>
      <c r="S34" s="45">
        <v>0</v>
      </c>
      <c r="T34" s="45">
        <v>0</v>
      </c>
      <c r="U34" s="45">
        <v>0</v>
      </c>
      <c r="V34" s="45">
        <v>0</v>
      </c>
      <c r="W34" s="45">
        <v>0</v>
      </c>
      <c r="X34" s="46">
        <v>0</v>
      </c>
      <c r="Y34" s="177"/>
      <c r="Z34" s="162"/>
      <c r="AA34" s="44" t="s">
        <v>115</v>
      </c>
      <c r="AB34" s="45">
        <v>0</v>
      </c>
      <c r="AC34" s="45">
        <f t="shared" si="22"/>
        <v>0</v>
      </c>
      <c r="AD34" s="45">
        <f t="shared" si="22"/>
        <v>0</v>
      </c>
      <c r="AE34" s="45">
        <v>0</v>
      </c>
      <c r="AF34" s="45">
        <v>0</v>
      </c>
      <c r="AG34" s="45">
        <v>0</v>
      </c>
      <c r="AH34" s="45">
        <v>0</v>
      </c>
      <c r="AI34" s="45">
        <v>0</v>
      </c>
      <c r="AJ34" s="46">
        <v>0</v>
      </c>
      <c r="AK34" s="177"/>
      <c r="AL34" s="162"/>
      <c r="AM34" s="44" t="s">
        <v>115</v>
      </c>
      <c r="AN34" s="45">
        <v>0</v>
      </c>
      <c r="AO34" s="45">
        <f t="shared" si="23"/>
        <v>0</v>
      </c>
      <c r="AP34" s="45">
        <f t="shared" si="23"/>
        <v>0</v>
      </c>
      <c r="AQ34" s="45">
        <v>0</v>
      </c>
      <c r="AR34" s="45">
        <v>0</v>
      </c>
      <c r="AS34" s="45">
        <v>0</v>
      </c>
      <c r="AT34" s="45">
        <v>0</v>
      </c>
      <c r="AU34" s="45">
        <v>0</v>
      </c>
      <c r="AV34" s="46">
        <v>0</v>
      </c>
    </row>
    <row r="35" spans="1:48" ht="28.9" customHeight="1">
      <c r="A35" s="177"/>
      <c r="B35" s="162"/>
      <c r="C35" s="44" t="s">
        <v>116</v>
      </c>
      <c r="D35" s="45">
        <f t="shared" si="4"/>
        <v>1187382.502688407</v>
      </c>
      <c r="E35" s="45">
        <f t="shared" si="20"/>
        <v>45752</v>
      </c>
      <c r="F35" s="45">
        <f t="shared" si="20"/>
        <v>54325124263</v>
      </c>
      <c r="G35" s="45">
        <f t="shared" si="5"/>
        <v>1259112.6281581486</v>
      </c>
      <c r="H35" s="45">
        <v>20740</v>
      </c>
      <c r="I35" s="45">
        <v>26113995908</v>
      </c>
      <c r="J35" s="45">
        <f t="shared" si="6"/>
        <v>1127903.7404046059</v>
      </c>
      <c r="K35" s="45">
        <v>25012</v>
      </c>
      <c r="L35" s="46">
        <v>28211128355</v>
      </c>
      <c r="M35" s="177"/>
      <c r="N35" s="162"/>
      <c r="O35" s="44" t="s">
        <v>116</v>
      </c>
      <c r="P35" s="45">
        <f t="shared" ref="P35:P38" si="24">R35/Q35/12</f>
        <v>13222.664062899174</v>
      </c>
      <c r="Q35" s="45">
        <v>52256.33</v>
      </c>
      <c r="R35" s="45">
        <f t="shared" si="21"/>
        <v>8291614761</v>
      </c>
      <c r="S35" s="45">
        <f t="shared" ref="S35:S38" si="25">U35/T35/12</f>
        <v>14139.758698230296</v>
      </c>
      <c r="T35" s="45">
        <v>26381.42</v>
      </c>
      <c r="U35" s="45">
        <v>4476322955</v>
      </c>
      <c r="V35" s="45">
        <f t="shared" ref="V35:V38" si="26">X35/W35/12</f>
        <v>12287.612245113545</v>
      </c>
      <c r="W35" s="45">
        <v>25874.92</v>
      </c>
      <c r="X35" s="46">
        <v>3815291806</v>
      </c>
      <c r="Y35" s="177"/>
      <c r="Z35" s="162"/>
      <c r="AA35" s="44" t="s">
        <v>116</v>
      </c>
      <c r="AB35" s="45">
        <v>0</v>
      </c>
      <c r="AC35" s="45">
        <f t="shared" si="22"/>
        <v>0</v>
      </c>
      <c r="AD35" s="45">
        <f t="shared" si="22"/>
        <v>0</v>
      </c>
      <c r="AE35" s="45">
        <v>0</v>
      </c>
      <c r="AF35" s="45">
        <v>0</v>
      </c>
      <c r="AG35" s="45">
        <v>0</v>
      </c>
      <c r="AH35" s="45">
        <v>0</v>
      </c>
      <c r="AI35" s="45">
        <v>0</v>
      </c>
      <c r="AJ35" s="46">
        <v>0</v>
      </c>
      <c r="AK35" s="177"/>
      <c r="AL35" s="162"/>
      <c r="AM35" s="44" t="s">
        <v>116</v>
      </c>
      <c r="AN35" s="45">
        <f t="shared" si="13"/>
        <v>1178003.0625</v>
      </c>
      <c r="AO35" s="45">
        <f t="shared" si="23"/>
        <v>176</v>
      </c>
      <c r="AP35" s="45">
        <f t="shared" si="23"/>
        <v>207328539</v>
      </c>
      <c r="AQ35" s="45">
        <f t="shared" si="14"/>
        <v>1204880.5163934426</v>
      </c>
      <c r="AR35" s="45">
        <v>122</v>
      </c>
      <c r="AS35" s="45">
        <v>146995423</v>
      </c>
      <c r="AT35" s="45">
        <f t="shared" si="15"/>
        <v>1117279.9259259258</v>
      </c>
      <c r="AU35" s="45">
        <v>54</v>
      </c>
      <c r="AV35" s="46">
        <v>60333116</v>
      </c>
    </row>
    <row r="36" spans="1:48" ht="28.9" customHeight="1">
      <c r="A36" s="177"/>
      <c r="B36" s="162"/>
      <c r="C36" s="44" t="s">
        <v>117</v>
      </c>
      <c r="D36" s="45">
        <f t="shared" si="4"/>
        <v>1129558.5547596307</v>
      </c>
      <c r="E36" s="45">
        <f t="shared" si="20"/>
        <v>25128</v>
      </c>
      <c r="F36" s="45">
        <f t="shared" si="20"/>
        <v>28383547364</v>
      </c>
      <c r="G36" s="45">
        <f t="shared" si="5"/>
        <v>1144825.9195008751</v>
      </c>
      <c r="H36" s="45">
        <v>13143</v>
      </c>
      <c r="I36" s="45">
        <v>15046447060</v>
      </c>
      <c r="J36" s="45">
        <f t="shared" si="6"/>
        <v>1112816.0453900709</v>
      </c>
      <c r="K36" s="45">
        <v>11985</v>
      </c>
      <c r="L36" s="46">
        <v>13337100304</v>
      </c>
      <c r="M36" s="177"/>
      <c r="N36" s="162"/>
      <c r="O36" s="44" t="s">
        <v>117</v>
      </c>
      <c r="P36" s="45">
        <f t="shared" si="24"/>
        <v>15698.852276032221</v>
      </c>
      <c r="Q36" s="45">
        <v>102005</v>
      </c>
      <c r="R36" s="45">
        <f t="shared" si="21"/>
        <v>19216337117</v>
      </c>
      <c r="S36" s="45">
        <f t="shared" si="25"/>
        <v>16864.116557804435</v>
      </c>
      <c r="T36" s="45">
        <v>49946.92</v>
      </c>
      <c r="U36" s="45">
        <v>10107728167</v>
      </c>
      <c r="V36" s="45">
        <f t="shared" si="26"/>
        <v>14580.844046367698</v>
      </c>
      <c r="W36" s="45">
        <v>52058.080000000002</v>
      </c>
      <c r="X36" s="46">
        <v>9108608950</v>
      </c>
      <c r="Y36" s="177"/>
      <c r="Z36" s="162"/>
      <c r="AA36" s="44" t="s">
        <v>117</v>
      </c>
      <c r="AB36" s="45">
        <f t="shared" si="10"/>
        <v>115829.46638683457</v>
      </c>
      <c r="AC36" s="45">
        <f t="shared" si="22"/>
        <v>15009</v>
      </c>
      <c r="AD36" s="45">
        <f t="shared" si="22"/>
        <v>1738484461</v>
      </c>
      <c r="AE36" s="45">
        <f t="shared" si="11"/>
        <v>143156.09034060669</v>
      </c>
      <c r="AF36" s="45">
        <v>7516</v>
      </c>
      <c r="AG36" s="45">
        <v>1075961175</v>
      </c>
      <c r="AH36" s="45">
        <f t="shared" si="12"/>
        <v>88418.962498331777</v>
      </c>
      <c r="AI36" s="45">
        <v>7493</v>
      </c>
      <c r="AJ36" s="46">
        <v>662523286</v>
      </c>
      <c r="AK36" s="177"/>
      <c r="AL36" s="162"/>
      <c r="AM36" s="44" t="s">
        <v>117</v>
      </c>
      <c r="AN36" s="45">
        <f t="shared" si="13"/>
        <v>1071403.6316964286</v>
      </c>
      <c r="AO36" s="45">
        <f t="shared" si="23"/>
        <v>448</v>
      </c>
      <c r="AP36" s="45">
        <f t="shared" si="23"/>
        <v>479988827</v>
      </c>
      <c r="AQ36" s="45">
        <f t="shared" si="14"/>
        <v>1129031.1887417219</v>
      </c>
      <c r="AR36" s="45">
        <v>302</v>
      </c>
      <c r="AS36" s="45">
        <v>340967419</v>
      </c>
      <c r="AT36" s="45">
        <f t="shared" si="15"/>
        <v>952201.42465753423</v>
      </c>
      <c r="AU36" s="45">
        <v>146</v>
      </c>
      <c r="AV36" s="46">
        <v>139021408</v>
      </c>
    </row>
    <row r="37" spans="1:48" ht="28.9" customHeight="1">
      <c r="A37" s="178"/>
      <c r="B37" s="163"/>
      <c r="C37" s="44" t="s">
        <v>118</v>
      </c>
      <c r="D37" s="45">
        <f t="shared" si="4"/>
        <v>979625.72402917407</v>
      </c>
      <c r="E37" s="45">
        <f t="shared" si="20"/>
        <v>5073</v>
      </c>
      <c r="F37" s="45">
        <f t="shared" si="20"/>
        <v>4969641298</v>
      </c>
      <c r="G37" s="45">
        <f t="shared" si="5"/>
        <v>978450.67697841732</v>
      </c>
      <c r="H37" s="45">
        <v>2780</v>
      </c>
      <c r="I37" s="45">
        <v>2720092882</v>
      </c>
      <c r="J37" s="45">
        <f t="shared" si="6"/>
        <v>981050.33406018314</v>
      </c>
      <c r="K37" s="45">
        <v>2293</v>
      </c>
      <c r="L37" s="46">
        <v>2249548416</v>
      </c>
      <c r="M37" s="178"/>
      <c r="N37" s="163"/>
      <c r="O37" s="44" t="s">
        <v>118</v>
      </c>
      <c r="P37" s="45">
        <f t="shared" si="24"/>
        <v>14995.163813451196</v>
      </c>
      <c r="Q37" s="45">
        <v>70081.75</v>
      </c>
      <c r="R37" s="45">
        <f t="shared" si="21"/>
        <v>12610647859</v>
      </c>
      <c r="S37" s="45">
        <f t="shared" si="25"/>
        <v>16109.72207072311</v>
      </c>
      <c r="T37" s="45">
        <v>33095.17</v>
      </c>
      <c r="U37" s="45">
        <v>6397847887</v>
      </c>
      <c r="V37" s="45">
        <f t="shared" si="26"/>
        <v>13997.869794936434</v>
      </c>
      <c r="W37" s="45">
        <v>36986.58</v>
      </c>
      <c r="X37" s="46">
        <v>6212799972</v>
      </c>
      <c r="Y37" s="178"/>
      <c r="Z37" s="163"/>
      <c r="AA37" s="44" t="s">
        <v>118</v>
      </c>
      <c r="AB37" s="45">
        <f t="shared" si="10"/>
        <v>69804.40057822036</v>
      </c>
      <c r="AC37" s="45">
        <f t="shared" si="22"/>
        <v>3113</v>
      </c>
      <c r="AD37" s="45">
        <f t="shared" si="22"/>
        <v>217301099</v>
      </c>
      <c r="AE37" s="45">
        <f t="shared" si="11"/>
        <v>80815.260766961655</v>
      </c>
      <c r="AF37" s="45">
        <v>1695</v>
      </c>
      <c r="AG37" s="45">
        <v>136981867</v>
      </c>
      <c r="AH37" s="45">
        <f t="shared" si="12"/>
        <v>56642.617771509169</v>
      </c>
      <c r="AI37" s="45">
        <v>1418</v>
      </c>
      <c r="AJ37" s="46">
        <v>80319232</v>
      </c>
      <c r="AK37" s="178"/>
      <c r="AL37" s="163"/>
      <c r="AM37" s="44" t="s">
        <v>118</v>
      </c>
      <c r="AN37" s="45">
        <f t="shared" si="13"/>
        <v>801429.76119402982</v>
      </c>
      <c r="AO37" s="45">
        <f t="shared" si="23"/>
        <v>469</v>
      </c>
      <c r="AP37" s="45">
        <f t="shared" si="23"/>
        <v>375870558</v>
      </c>
      <c r="AQ37" s="45">
        <f t="shared" si="14"/>
        <v>820708.93375394319</v>
      </c>
      <c r="AR37" s="45">
        <v>317</v>
      </c>
      <c r="AS37" s="45">
        <v>260164732</v>
      </c>
      <c r="AT37" s="45">
        <f t="shared" si="15"/>
        <v>761222.53947368416</v>
      </c>
      <c r="AU37" s="45">
        <v>152</v>
      </c>
      <c r="AV37" s="46">
        <v>115705826</v>
      </c>
    </row>
    <row r="38" spans="1:48" ht="28.9" customHeight="1" thickBot="1">
      <c r="A38" s="179"/>
      <c r="B38" s="164"/>
      <c r="C38" s="47" t="s">
        <v>100</v>
      </c>
      <c r="D38" s="48">
        <f t="shared" si="4"/>
        <v>615646.69516129035</v>
      </c>
      <c r="E38" s="48">
        <f t="shared" si="20"/>
        <v>620</v>
      </c>
      <c r="F38" s="48">
        <f t="shared" si="20"/>
        <v>381700951</v>
      </c>
      <c r="G38" s="48">
        <f t="shared" si="5"/>
        <v>709731.02333333332</v>
      </c>
      <c r="H38" s="48">
        <v>300</v>
      </c>
      <c r="I38" s="48">
        <v>212919307</v>
      </c>
      <c r="J38" s="48">
        <f t="shared" si="6"/>
        <v>527442.63749999995</v>
      </c>
      <c r="K38" s="48">
        <v>320</v>
      </c>
      <c r="L38" s="49">
        <v>168781644</v>
      </c>
      <c r="M38" s="179"/>
      <c r="N38" s="164"/>
      <c r="O38" s="47" t="s">
        <v>100</v>
      </c>
      <c r="P38" s="48">
        <f t="shared" si="24"/>
        <v>10685.793687725896</v>
      </c>
      <c r="Q38" s="48">
        <v>20565.330000000002</v>
      </c>
      <c r="R38" s="48">
        <f t="shared" si="21"/>
        <v>2637082482</v>
      </c>
      <c r="S38" s="48">
        <f t="shared" si="25"/>
        <v>11086.340601753624</v>
      </c>
      <c r="T38" s="48">
        <v>9779.75</v>
      </c>
      <c r="U38" s="48">
        <v>1301059674</v>
      </c>
      <c r="V38" s="48">
        <f t="shared" si="26"/>
        <v>10322.600546284948</v>
      </c>
      <c r="W38" s="48">
        <v>10785.58</v>
      </c>
      <c r="X38" s="49">
        <v>1336022808</v>
      </c>
      <c r="Y38" s="179"/>
      <c r="Z38" s="164"/>
      <c r="AA38" s="47" t="s">
        <v>100</v>
      </c>
      <c r="AB38" s="48">
        <f t="shared" si="10"/>
        <v>41340.406678865511</v>
      </c>
      <c r="AC38" s="48">
        <f t="shared" si="22"/>
        <v>2186</v>
      </c>
      <c r="AD38" s="48">
        <f t="shared" si="22"/>
        <v>90370129</v>
      </c>
      <c r="AE38" s="48">
        <f t="shared" si="11"/>
        <v>47400.247432306256</v>
      </c>
      <c r="AF38" s="48">
        <v>1071</v>
      </c>
      <c r="AG38" s="48">
        <v>50765665</v>
      </c>
      <c r="AH38" s="48">
        <f t="shared" si="12"/>
        <v>35519.698654708518</v>
      </c>
      <c r="AI38" s="48">
        <v>1115</v>
      </c>
      <c r="AJ38" s="49">
        <v>39604464</v>
      </c>
      <c r="AK38" s="179"/>
      <c r="AL38" s="164"/>
      <c r="AM38" s="47" t="s">
        <v>100</v>
      </c>
      <c r="AN38" s="48">
        <f t="shared" si="13"/>
        <v>283570.1626506024</v>
      </c>
      <c r="AO38" s="48">
        <f t="shared" si="23"/>
        <v>166</v>
      </c>
      <c r="AP38" s="48">
        <f t="shared" si="23"/>
        <v>47072647</v>
      </c>
      <c r="AQ38" s="48">
        <f t="shared" si="14"/>
        <v>348431.17808219179</v>
      </c>
      <c r="AR38" s="48">
        <v>73</v>
      </c>
      <c r="AS38" s="48">
        <v>25435476</v>
      </c>
      <c r="AT38" s="48">
        <f t="shared" si="15"/>
        <v>232657.75268817204</v>
      </c>
      <c r="AU38" s="48">
        <v>93</v>
      </c>
      <c r="AV38" s="49">
        <v>21637171</v>
      </c>
    </row>
    <row r="39" spans="1:48" s="4" customFormat="1" ht="178.9" customHeight="1">
      <c r="A39" s="133" t="s">
        <v>131</v>
      </c>
      <c r="B39" s="133"/>
      <c r="C39" s="133"/>
      <c r="D39" s="133"/>
      <c r="E39" s="133"/>
      <c r="F39" s="133"/>
      <c r="G39" s="133"/>
      <c r="H39" s="133"/>
      <c r="I39" s="133"/>
      <c r="J39" s="133"/>
      <c r="K39" s="133"/>
      <c r="L39" s="133"/>
      <c r="M39" s="133" t="s">
        <v>164</v>
      </c>
      <c r="N39" s="133"/>
      <c r="O39" s="133"/>
      <c r="P39" s="133"/>
      <c r="Q39" s="133"/>
      <c r="R39" s="133"/>
      <c r="S39" s="133"/>
      <c r="T39" s="133"/>
      <c r="U39" s="133"/>
      <c r="V39" s="133"/>
      <c r="W39" s="133"/>
      <c r="X39" s="133"/>
      <c r="Y39" s="133" t="s">
        <v>134</v>
      </c>
      <c r="Z39" s="133"/>
      <c r="AA39" s="133"/>
      <c r="AB39" s="133"/>
      <c r="AC39" s="133"/>
      <c r="AD39" s="133"/>
      <c r="AE39" s="133"/>
      <c r="AF39" s="133"/>
      <c r="AG39" s="133"/>
      <c r="AH39" s="133"/>
      <c r="AI39" s="133"/>
      <c r="AJ39" s="133"/>
      <c r="AK39" s="133" t="s">
        <v>126</v>
      </c>
      <c r="AL39" s="133"/>
      <c r="AM39" s="133"/>
      <c r="AN39" s="133"/>
      <c r="AO39" s="133"/>
      <c r="AP39" s="133"/>
      <c r="AQ39" s="133"/>
      <c r="AR39" s="133"/>
      <c r="AS39" s="133"/>
      <c r="AT39" s="133"/>
      <c r="AU39" s="133"/>
      <c r="AV39" s="133"/>
    </row>
  </sheetData>
  <mergeCells count="48">
    <mergeCell ref="AN3:AV3"/>
    <mergeCell ref="M3:M5"/>
    <mergeCell ref="N3:O5"/>
    <mergeCell ref="A1:L1"/>
    <mergeCell ref="Y1:AJ1"/>
    <mergeCell ref="AK1:AV1"/>
    <mergeCell ref="M1:X1"/>
    <mergeCell ref="A3:A5"/>
    <mergeCell ref="B3:C5"/>
    <mergeCell ref="D3:L3"/>
    <mergeCell ref="Y3:Y5"/>
    <mergeCell ref="Z3:AA5"/>
    <mergeCell ref="AB3:AJ3"/>
    <mergeCell ref="P3:X3"/>
    <mergeCell ref="AN4:AP4"/>
    <mergeCell ref="V4:X4"/>
    <mergeCell ref="AQ4:AS4"/>
    <mergeCell ref="AT4:AV4"/>
    <mergeCell ref="P4:R4"/>
    <mergeCell ref="A6:A28"/>
    <mergeCell ref="B6:B28"/>
    <mergeCell ref="Y6:Y28"/>
    <mergeCell ref="Z6:Z28"/>
    <mergeCell ref="AK6:AK28"/>
    <mergeCell ref="AL6:AL28"/>
    <mergeCell ref="M6:M28"/>
    <mergeCell ref="N6:N28"/>
    <mergeCell ref="D4:F4"/>
    <mergeCell ref="G4:I4"/>
    <mergeCell ref="J4:L4"/>
    <mergeCell ref="AB4:AD4"/>
    <mergeCell ref="AE4:AG4"/>
    <mergeCell ref="AH4:AJ4"/>
    <mergeCell ref="AL3:AM5"/>
    <mergeCell ref="S4:U4"/>
    <mergeCell ref="AK3:AK5"/>
    <mergeCell ref="M29:M38"/>
    <mergeCell ref="N29:N38"/>
    <mergeCell ref="A39:L39"/>
    <mergeCell ref="Y39:AJ39"/>
    <mergeCell ref="AK39:AV39"/>
    <mergeCell ref="M39:X39"/>
    <mergeCell ref="A29:A38"/>
    <mergeCell ref="B29:B38"/>
    <mergeCell ref="Y29:Y38"/>
    <mergeCell ref="Z29:Z38"/>
    <mergeCell ref="AK29:AK38"/>
    <mergeCell ref="AL29:AL38"/>
  </mergeCells>
  <phoneticPr fontId="14" type="noConversion"/>
  <printOptions horizontalCentered="1"/>
  <pageMargins left="0.15748031496062992" right="0.15748031496062992" top="0.59055118110236227" bottom="0.59055118110236227" header="0.51181102362204722" footer="0.31496062992125984"/>
  <pageSetup paperSize="9" orientation="portrait" r:id="rId1"/>
  <headerFooter alignWithMargins="0"/>
  <rowBreaks count="1" manualBreakCount="1">
    <brk id="28" max="16383" man="1"/>
  </rowBreaks>
  <colBreaks count="3" manualBreakCount="3">
    <brk id="24" max="1048575" man="1"/>
    <brk id="36" max="1048575" man="1"/>
    <brk id="12" max="1048575" man="1"/>
  </col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AV39"/>
  <sheetViews>
    <sheetView view="pageBreakPreview" zoomScale="80" zoomScaleNormal="90" zoomScaleSheetLayoutView="80" workbookViewId="0">
      <selection activeCell="A2" sqref="A2"/>
    </sheetView>
  </sheetViews>
  <sheetFormatPr defaultColWidth="9" defaultRowHeight="16.5"/>
  <cols>
    <col min="1" max="1" width="5.625" style="54" customWidth="1"/>
    <col min="2" max="2" width="3.5" style="54" customWidth="1"/>
    <col min="3" max="3" width="9.5" style="55" customWidth="1"/>
    <col min="4" max="4" width="8.25" style="53" customWidth="1"/>
    <col min="5" max="5" width="6.375" style="53" customWidth="1"/>
    <col min="6" max="6" width="12.75" style="53" customWidth="1"/>
    <col min="7" max="7" width="8.25" style="53" customWidth="1"/>
    <col min="8" max="8" width="6.25" style="53" customWidth="1"/>
    <col min="9" max="9" width="12" style="53" customWidth="1"/>
    <col min="10" max="10" width="8.25" style="53" customWidth="1"/>
    <col min="11" max="11" width="6.25" style="53" customWidth="1"/>
    <col min="12" max="12" width="12" style="53" customWidth="1"/>
    <col min="13" max="13" width="5.625" style="53" customWidth="1"/>
    <col min="14" max="14" width="3.5" style="53" customWidth="1"/>
    <col min="15" max="15" width="9.375" style="56" customWidth="1"/>
    <col min="16" max="16" width="6.75" style="53" customWidth="1"/>
    <col min="17" max="17" width="7.375" style="53" customWidth="1"/>
    <col min="18" max="18" width="12.5" style="53" customWidth="1"/>
    <col min="19" max="19" width="6.75" style="53" customWidth="1"/>
    <col min="20" max="20" width="7.375" style="53" customWidth="1"/>
    <col min="21" max="21" width="12.5" style="53" customWidth="1"/>
    <col min="22" max="22" width="6.75" style="53" customWidth="1"/>
    <col min="23" max="23" width="7.375" style="53" customWidth="1"/>
    <col min="24" max="24" width="12.5" style="53" customWidth="1"/>
    <col min="25" max="25" width="6.625" style="53" customWidth="1"/>
    <col min="26" max="26" width="4.625" style="53" customWidth="1"/>
    <col min="27" max="27" width="9.375" style="56" customWidth="1"/>
    <col min="28" max="28" width="7.5" style="53" customWidth="1"/>
    <col min="29" max="29" width="7.25" style="53" customWidth="1"/>
    <col min="30" max="30" width="10.75" style="53" customWidth="1"/>
    <col min="31" max="31" width="7.5" style="53" customWidth="1"/>
    <col min="32" max="32" width="7.25" style="53" customWidth="1"/>
    <col min="33" max="33" width="10.75" style="53" customWidth="1"/>
    <col min="34" max="34" width="7.5" style="53" customWidth="1"/>
    <col min="35" max="35" width="7.25" style="53" customWidth="1"/>
    <col min="36" max="36" width="10.75" style="53" customWidth="1"/>
    <col min="37" max="37" width="6.625" style="53" customWidth="1"/>
    <col min="38" max="38" width="4.625" style="53" customWidth="1"/>
    <col min="39" max="39" width="9.375" style="56" customWidth="1"/>
    <col min="40" max="40" width="8.5" style="53" customWidth="1"/>
    <col min="41" max="41" width="6.75" style="53" customWidth="1"/>
    <col min="42" max="42" width="10.75" style="53" customWidth="1"/>
    <col min="43" max="43" width="8.5" style="53" customWidth="1"/>
    <col min="44" max="44" width="6.75" style="53" customWidth="1"/>
    <col min="45" max="45" width="10.75" style="53" customWidth="1"/>
    <col min="46" max="46" width="8.5" style="53" customWidth="1"/>
    <col min="47" max="47" width="6.75" style="53" customWidth="1"/>
    <col min="48" max="48" width="10.75" style="53" customWidth="1"/>
    <col min="49" max="16384" width="9" style="53"/>
  </cols>
  <sheetData>
    <row r="1" spans="1:48" ht="24" customHeight="1">
      <c r="A1" s="112" t="s">
        <v>153</v>
      </c>
      <c r="B1" s="113"/>
      <c r="C1" s="113"/>
      <c r="D1" s="113"/>
      <c r="E1" s="113"/>
      <c r="F1" s="113"/>
      <c r="G1" s="113"/>
      <c r="H1" s="113"/>
      <c r="I1" s="113"/>
      <c r="J1" s="113"/>
      <c r="K1" s="113"/>
      <c r="L1" s="113"/>
      <c r="M1" s="112" t="s">
        <v>119</v>
      </c>
      <c r="N1" s="113"/>
      <c r="O1" s="113"/>
      <c r="P1" s="113"/>
      <c r="Q1" s="113"/>
      <c r="R1" s="113"/>
      <c r="S1" s="113"/>
      <c r="T1" s="113"/>
      <c r="U1" s="113"/>
      <c r="V1" s="113"/>
      <c r="W1" s="113"/>
      <c r="X1" s="113"/>
      <c r="Y1" s="112" t="s">
        <v>123</v>
      </c>
      <c r="Z1" s="113"/>
      <c r="AA1" s="113"/>
      <c r="AB1" s="113"/>
      <c r="AC1" s="113"/>
      <c r="AD1" s="113"/>
      <c r="AE1" s="113"/>
      <c r="AF1" s="113"/>
      <c r="AG1" s="113"/>
      <c r="AH1" s="113"/>
      <c r="AI1" s="113"/>
      <c r="AJ1" s="113"/>
      <c r="AK1" s="112" t="s">
        <v>122</v>
      </c>
      <c r="AL1" s="113"/>
      <c r="AM1" s="113"/>
      <c r="AN1" s="113"/>
      <c r="AO1" s="113"/>
      <c r="AP1" s="113"/>
      <c r="AQ1" s="113"/>
      <c r="AR1" s="113"/>
      <c r="AS1" s="113"/>
      <c r="AT1" s="113"/>
      <c r="AU1" s="113"/>
      <c r="AV1" s="113"/>
    </row>
    <row r="2" spans="1:48" ht="18" customHeight="1" thickBot="1"/>
    <row r="3" spans="1:48" s="59" customFormat="1" ht="27" customHeight="1">
      <c r="A3" s="100" t="s">
        <v>62</v>
      </c>
      <c r="B3" s="106" t="s">
        <v>52</v>
      </c>
      <c r="C3" s="107"/>
      <c r="D3" s="102" t="s">
        <v>56</v>
      </c>
      <c r="E3" s="102"/>
      <c r="F3" s="103"/>
      <c r="G3" s="103"/>
      <c r="H3" s="103"/>
      <c r="I3" s="103"/>
      <c r="J3" s="103"/>
      <c r="K3" s="104"/>
      <c r="L3" s="105"/>
      <c r="M3" s="100" t="s">
        <v>62</v>
      </c>
      <c r="N3" s="106" t="s">
        <v>52</v>
      </c>
      <c r="O3" s="107"/>
      <c r="P3" s="102" t="str">
        <f>D3</f>
        <v>100年</v>
      </c>
      <c r="Q3" s="102"/>
      <c r="R3" s="103"/>
      <c r="S3" s="103"/>
      <c r="T3" s="103"/>
      <c r="U3" s="103"/>
      <c r="V3" s="103"/>
      <c r="W3" s="104"/>
      <c r="X3" s="105"/>
      <c r="Y3" s="100" t="s">
        <v>62</v>
      </c>
      <c r="Z3" s="106" t="s">
        <v>52</v>
      </c>
      <c r="AA3" s="107"/>
      <c r="AB3" s="102" t="str">
        <f>D3</f>
        <v>100年</v>
      </c>
      <c r="AC3" s="102"/>
      <c r="AD3" s="103"/>
      <c r="AE3" s="103"/>
      <c r="AF3" s="103"/>
      <c r="AG3" s="103"/>
      <c r="AH3" s="103"/>
      <c r="AI3" s="104"/>
      <c r="AJ3" s="105"/>
      <c r="AK3" s="100" t="s">
        <v>62</v>
      </c>
      <c r="AL3" s="106" t="s">
        <v>52</v>
      </c>
      <c r="AM3" s="107"/>
      <c r="AN3" s="102" t="str">
        <f>D3</f>
        <v>100年</v>
      </c>
      <c r="AO3" s="102"/>
      <c r="AP3" s="103"/>
      <c r="AQ3" s="103"/>
      <c r="AR3" s="103"/>
      <c r="AS3" s="103"/>
      <c r="AT3" s="103"/>
      <c r="AU3" s="104"/>
      <c r="AV3" s="105"/>
    </row>
    <row r="4" spans="1:48" s="59" customFormat="1" ht="27" customHeight="1">
      <c r="A4" s="101"/>
      <c r="B4" s="108"/>
      <c r="C4" s="109"/>
      <c r="D4" s="99" t="s">
        <v>12</v>
      </c>
      <c r="E4" s="99"/>
      <c r="F4" s="99"/>
      <c r="G4" s="99" t="s">
        <v>13</v>
      </c>
      <c r="H4" s="99"/>
      <c r="I4" s="99"/>
      <c r="J4" s="99" t="s">
        <v>14</v>
      </c>
      <c r="K4" s="114"/>
      <c r="L4" s="115"/>
      <c r="M4" s="101"/>
      <c r="N4" s="108"/>
      <c r="O4" s="109"/>
      <c r="P4" s="99" t="s">
        <v>12</v>
      </c>
      <c r="Q4" s="99"/>
      <c r="R4" s="99"/>
      <c r="S4" s="99" t="s">
        <v>13</v>
      </c>
      <c r="T4" s="99"/>
      <c r="U4" s="99"/>
      <c r="V4" s="99" t="s">
        <v>14</v>
      </c>
      <c r="W4" s="114"/>
      <c r="X4" s="115"/>
      <c r="Y4" s="101"/>
      <c r="Z4" s="108"/>
      <c r="AA4" s="109"/>
      <c r="AB4" s="99" t="s">
        <v>12</v>
      </c>
      <c r="AC4" s="99"/>
      <c r="AD4" s="99"/>
      <c r="AE4" s="99" t="s">
        <v>13</v>
      </c>
      <c r="AF4" s="99"/>
      <c r="AG4" s="99"/>
      <c r="AH4" s="99" t="s">
        <v>14</v>
      </c>
      <c r="AI4" s="114"/>
      <c r="AJ4" s="115"/>
      <c r="AK4" s="101"/>
      <c r="AL4" s="108"/>
      <c r="AM4" s="109"/>
      <c r="AN4" s="99" t="s">
        <v>12</v>
      </c>
      <c r="AO4" s="99"/>
      <c r="AP4" s="99"/>
      <c r="AQ4" s="99" t="s">
        <v>13</v>
      </c>
      <c r="AR4" s="99"/>
      <c r="AS4" s="99"/>
      <c r="AT4" s="99" t="s">
        <v>14</v>
      </c>
      <c r="AU4" s="114"/>
      <c r="AV4" s="115"/>
    </row>
    <row r="5" spans="1:48" ht="49.5">
      <c r="A5" s="101"/>
      <c r="B5" s="110"/>
      <c r="C5" s="111"/>
      <c r="D5" s="60" t="s">
        <v>124</v>
      </c>
      <c r="E5" s="61" t="s">
        <v>15</v>
      </c>
      <c r="F5" s="61" t="s">
        <v>16</v>
      </c>
      <c r="G5" s="60" t="s">
        <v>124</v>
      </c>
      <c r="H5" s="61" t="s">
        <v>15</v>
      </c>
      <c r="I5" s="61" t="s">
        <v>16</v>
      </c>
      <c r="J5" s="60" t="s">
        <v>124</v>
      </c>
      <c r="K5" s="61" t="s">
        <v>15</v>
      </c>
      <c r="L5" s="62" t="s">
        <v>16</v>
      </c>
      <c r="M5" s="101"/>
      <c r="N5" s="110"/>
      <c r="O5" s="111"/>
      <c r="P5" s="60" t="s">
        <v>166</v>
      </c>
      <c r="Q5" s="82" t="s">
        <v>158</v>
      </c>
      <c r="R5" s="61" t="s">
        <v>16</v>
      </c>
      <c r="S5" s="60" t="s">
        <v>166</v>
      </c>
      <c r="T5" s="82" t="s">
        <v>158</v>
      </c>
      <c r="U5" s="61" t="s">
        <v>16</v>
      </c>
      <c r="V5" s="60" t="s">
        <v>166</v>
      </c>
      <c r="W5" s="82" t="s">
        <v>158</v>
      </c>
      <c r="X5" s="62" t="s">
        <v>16</v>
      </c>
      <c r="Y5" s="101"/>
      <c r="Z5" s="110"/>
      <c r="AA5" s="111"/>
      <c r="AB5" s="60" t="s">
        <v>124</v>
      </c>
      <c r="AC5" s="61" t="s">
        <v>15</v>
      </c>
      <c r="AD5" s="61" t="s">
        <v>16</v>
      </c>
      <c r="AE5" s="60" t="s">
        <v>124</v>
      </c>
      <c r="AF5" s="61" t="s">
        <v>15</v>
      </c>
      <c r="AG5" s="61" t="s">
        <v>16</v>
      </c>
      <c r="AH5" s="60" t="s">
        <v>124</v>
      </c>
      <c r="AI5" s="61" t="s">
        <v>15</v>
      </c>
      <c r="AJ5" s="62" t="s">
        <v>16</v>
      </c>
      <c r="AK5" s="101"/>
      <c r="AL5" s="110"/>
      <c r="AM5" s="111"/>
      <c r="AN5" s="60" t="s">
        <v>124</v>
      </c>
      <c r="AO5" s="61" t="s">
        <v>15</v>
      </c>
      <c r="AP5" s="61" t="s">
        <v>16</v>
      </c>
      <c r="AQ5" s="60" t="s">
        <v>124</v>
      </c>
      <c r="AR5" s="61" t="s">
        <v>15</v>
      </c>
      <c r="AS5" s="61" t="s">
        <v>16</v>
      </c>
      <c r="AT5" s="60" t="s">
        <v>124</v>
      </c>
      <c r="AU5" s="61" t="s">
        <v>15</v>
      </c>
      <c r="AV5" s="62" t="s">
        <v>16</v>
      </c>
    </row>
    <row r="6" spans="1:48" ht="24" customHeight="1">
      <c r="A6" s="170" t="s">
        <v>154</v>
      </c>
      <c r="B6" s="120" t="s">
        <v>17</v>
      </c>
      <c r="C6" s="63" t="s">
        <v>76</v>
      </c>
      <c r="D6" s="64">
        <f>F6/E6</f>
        <v>1134197.6113005653</v>
      </c>
      <c r="E6" s="64">
        <f>SUM(E7:E28)</f>
        <v>65979</v>
      </c>
      <c r="F6" s="64">
        <f>SUM(F7:F28)</f>
        <v>74833224196</v>
      </c>
      <c r="G6" s="64">
        <f>I6/H6</f>
        <v>1164709.8757067139</v>
      </c>
      <c r="H6" s="64">
        <f t="shared" ref="H6:L6" si="0">SUM(H7:H28)</f>
        <v>33960</v>
      </c>
      <c r="I6" s="64">
        <f t="shared" si="0"/>
        <v>39553547379</v>
      </c>
      <c r="J6" s="64">
        <f>L6/K6</f>
        <v>1101835.6855929291</v>
      </c>
      <c r="K6" s="64">
        <f t="shared" ref="K6" si="1">SUM(K7:K28)</f>
        <v>32019</v>
      </c>
      <c r="L6" s="65">
        <f t="shared" si="0"/>
        <v>35279676817</v>
      </c>
      <c r="M6" s="166" t="s">
        <v>146</v>
      </c>
      <c r="N6" s="128" t="s">
        <v>17</v>
      </c>
      <c r="O6" s="63" t="s">
        <v>76</v>
      </c>
      <c r="P6" s="64">
        <f>R6/Q6/12</f>
        <v>13821.243320421592</v>
      </c>
      <c r="Q6" s="64">
        <v>156229.92000000001</v>
      </c>
      <c r="R6" s="64">
        <f>U6+X6</f>
        <v>25911500859</v>
      </c>
      <c r="S6" s="64">
        <f>U6/T6/12</f>
        <v>14898.521317842778</v>
      </c>
      <c r="T6" s="64">
        <v>78566.58</v>
      </c>
      <c r="U6" s="64">
        <f>SUM(U7:U28)+(-273907)</f>
        <v>14046310404</v>
      </c>
      <c r="V6" s="64">
        <f>X6/W6/12</f>
        <v>12731.438006199322</v>
      </c>
      <c r="W6" s="64">
        <v>77663.33</v>
      </c>
      <c r="X6" s="65">
        <f>SUM(X7:X28)+(-161354)</f>
        <v>11865190455</v>
      </c>
      <c r="Y6" s="170" t="s">
        <v>150</v>
      </c>
      <c r="Z6" s="120" t="s">
        <v>17</v>
      </c>
      <c r="AA6" s="63" t="s">
        <v>76</v>
      </c>
      <c r="AB6" s="64">
        <f>AD6/AC6</f>
        <v>94732.73730184407</v>
      </c>
      <c r="AC6" s="64">
        <f>AF6+AI6</f>
        <v>18546</v>
      </c>
      <c r="AD6" s="64">
        <f>AG6+AJ6</f>
        <v>1756913346</v>
      </c>
      <c r="AE6" s="64">
        <f>AG6/AF6</f>
        <v>113655.65813905509</v>
      </c>
      <c r="AF6" s="64">
        <f>SUM(AF7:AF28)+(2)</f>
        <v>9694</v>
      </c>
      <c r="AG6" s="64">
        <f>SUM(AG7:AG28)+(35205)</f>
        <v>1101777950</v>
      </c>
      <c r="AH6" s="64">
        <f>AJ6/AI6</f>
        <v>74009.873023045642</v>
      </c>
      <c r="AI6" s="64">
        <f>SUM(AI7:AI28)+(4)</f>
        <v>8852</v>
      </c>
      <c r="AJ6" s="65">
        <f>SUM(AJ7:AJ28)+(18307)</f>
        <v>655135396</v>
      </c>
      <c r="AK6" s="170" t="s">
        <v>152</v>
      </c>
      <c r="AL6" s="120" t="s">
        <v>17</v>
      </c>
      <c r="AM6" s="63" t="s">
        <v>76</v>
      </c>
      <c r="AN6" s="64">
        <f>AP6/AO6</f>
        <v>851949.04449938191</v>
      </c>
      <c r="AO6" s="64">
        <f>SUM(AO7:AO28)</f>
        <v>809</v>
      </c>
      <c r="AP6" s="64">
        <f>SUM(AP7:AP28)</f>
        <v>689226777</v>
      </c>
      <c r="AQ6" s="64">
        <f>AS6/AR6</f>
        <v>949884.6737864078</v>
      </c>
      <c r="AR6" s="64">
        <f t="shared" ref="AR6:AS6" si="2">SUM(AR7:AR28)</f>
        <v>515</v>
      </c>
      <c r="AS6" s="64">
        <f t="shared" si="2"/>
        <v>489190607</v>
      </c>
      <c r="AT6" s="64">
        <f>AV6/AU6</f>
        <v>680395.13605442178</v>
      </c>
      <c r="AU6" s="64">
        <f t="shared" ref="AU6:AV6" si="3">SUM(AU7:AU28)</f>
        <v>294</v>
      </c>
      <c r="AV6" s="65">
        <f t="shared" si="3"/>
        <v>200036170</v>
      </c>
    </row>
    <row r="7" spans="1:48" ht="24" customHeight="1">
      <c r="A7" s="171"/>
      <c r="B7" s="121"/>
      <c r="C7" s="63" t="s">
        <v>95</v>
      </c>
      <c r="D7" s="64">
        <f t="shared" ref="D7:D38" si="4">F7/E7</f>
        <v>1189667.5323364486</v>
      </c>
      <c r="E7" s="64">
        <f>H7+K7</f>
        <v>10700</v>
      </c>
      <c r="F7" s="64">
        <f>I7+L7</f>
        <v>12729442596</v>
      </c>
      <c r="G7" s="64">
        <f t="shared" ref="G7:G38" si="5">I7/H7</f>
        <v>1214395.7167597765</v>
      </c>
      <c r="H7" s="64">
        <v>5370</v>
      </c>
      <c r="I7" s="64">
        <v>6521304999</v>
      </c>
      <c r="J7" s="64">
        <f t="shared" ref="J7:J38" si="6">L7/K7</f>
        <v>1164753.7705440901</v>
      </c>
      <c r="K7" s="64">
        <v>5330</v>
      </c>
      <c r="L7" s="65">
        <v>6208137597</v>
      </c>
      <c r="M7" s="166"/>
      <c r="N7" s="129"/>
      <c r="O7" s="63" t="s">
        <v>95</v>
      </c>
      <c r="P7" s="64">
        <f t="shared" ref="P7:P28" si="7">R7/Q7/12</f>
        <v>14040.639719459419</v>
      </c>
      <c r="Q7" s="64">
        <v>19906.330000000002</v>
      </c>
      <c r="R7" s="64">
        <f>U7+X7</f>
        <v>3353971292</v>
      </c>
      <c r="S7" s="64">
        <f t="shared" ref="S7:S28" si="8">U7/T7/12</f>
        <v>14989.130310966515</v>
      </c>
      <c r="T7" s="64">
        <v>10007.83</v>
      </c>
      <c r="U7" s="64">
        <v>1800104016</v>
      </c>
      <c r="V7" s="64">
        <f t="shared" ref="V7:V28" si="9">X7/W7/12</f>
        <v>13081.672947079524</v>
      </c>
      <c r="W7" s="64">
        <v>9898.5</v>
      </c>
      <c r="X7" s="65">
        <v>1553867276</v>
      </c>
      <c r="Y7" s="171"/>
      <c r="Z7" s="121"/>
      <c r="AA7" s="63" t="s">
        <v>95</v>
      </c>
      <c r="AB7" s="64">
        <f t="shared" ref="AB7:AB38" si="10">AD7/AC7</f>
        <v>102701.84378843788</v>
      </c>
      <c r="AC7" s="64">
        <f>AF7+AI7</f>
        <v>2439</v>
      </c>
      <c r="AD7" s="64">
        <f>AG7+AJ7</f>
        <v>250489797</v>
      </c>
      <c r="AE7" s="64">
        <f t="shared" ref="AE7:AE38" si="11">AG7/AF7</f>
        <v>123802.78610460578</v>
      </c>
      <c r="AF7" s="64">
        <v>1281</v>
      </c>
      <c r="AG7" s="64">
        <v>158591369</v>
      </c>
      <c r="AH7" s="64">
        <f t="shared" ref="AH7:AH38" si="12">AJ7/AI7</f>
        <v>79359.609671848011</v>
      </c>
      <c r="AI7" s="64">
        <v>1158</v>
      </c>
      <c r="AJ7" s="65">
        <v>91898428</v>
      </c>
      <c r="AK7" s="171"/>
      <c r="AL7" s="121"/>
      <c r="AM7" s="63" t="s">
        <v>95</v>
      </c>
      <c r="AN7" s="64">
        <f t="shared" ref="AN7:AN38" si="13">AP7/AO7</f>
        <v>835316.49438202241</v>
      </c>
      <c r="AO7" s="64">
        <f>AR7+AU7</f>
        <v>89</v>
      </c>
      <c r="AP7" s="64">
        <f>AS7+AV7</f>
        <v>74343168</v>
      </c>
      <c r="AQ7" s="64">
        <f t="shared" ref="AQ7:AQ38" si="14">AS7/AR7</f>
        <v>872808.32786885242</v>
      </c>
      <c r="AR7" s="64">
        <v>61</v>
      </c>
      <c r="AS7" s="64">
        <v>53241308</v>
      </c>
      <c r="AT7" s="64">
        <f t="shared" ref="AT7:AT38" si="15">AV7/AU7</f>
        <v>753637.85714285716</v>
      </c>
      <c r="AU7" s="64">
        <v>28</v>
      </c>
      <c r="AV7" s="65">
        <v>21101860</v>
      </c>
    </row>
    <row r="8" spans="1:48" ht="24" customHeight="1">
      <c r="A8" s="171"/>
      <c r="B8" s="121"/>
      <c r="C8" s="63" t="s">
        <v>96</v>
      </c>
      <c r="D8" s="64">
        <f t="shared" si="4"/>
        <v>1148344.3527084601</v>
      </c>
      <c r="E8" s="64">
        <f t="shared" ref="E8:F28" si="16">H8+K8</f>
        <v>13144</v>
      </c>
      <c r="F8" s="64">
        <f t="shared" si="16"/>
        <v>15093838172</v>
      </c>
      <c r="G8" s="64">
        <f t="shared" si="5"/>
        <v>1159765.4819145619</v>
      </c>
      <c r="H8" s="64">
        <v>6414</v>
      </c>
      <c r="I8" s="64">
        <v>7438735801</v>
      </c>
      <c r="J8" s="64">
        <f t="shared" si="6"/>
        <v>1137459.4904903418</v>
      </c>
      <c r="K8" s="64">
        <v>6730</v>
      </c>
      <c r="L8" s="65">
        <v>7655102371</v>
      </c>
      <c r="M8" s="166"/>
      <c r="N8" s="129"/>
      <c r="O8" s="63" t="s">
        <v>96</v>
      </c>
      <c r="P8" s="64">
        <f t="shared" si="7"/>
        <v>14007.835638740442</v>
      </c>
      <c r="Q8" s="64">
        <v>33328.17</v>
      </c>
      <c r="R8" s="64">
        <f t="shared" ref="R8:R28" si="17">U8+X8</f>
        <v>5602266330</v>
      </c>
      <c r="S8" s="64">
        <f t="shared" si="8"/>
        <v>15031.241436985705</v>
      </c>
      <c r="T8" s="64">
        <v>17388.25</v>
      </c>
      <c r="U8" s="64">
        <v>3136403807</v>
      </c>
      <c r="V8" s="64">
        <f t="shared" si="9"/>
        <v>12891.441336175672</v>
      </c>
      <c r="W8" s="64">
        <v>15939.92</v>
      </c>
      <c r="X8" s="65">
        <v>2465862523</v>
      </c>
      <c r="Y8" s="171"/>
      <c r="Z8" s="121"/>
      <c r="AA8" s="63" t="s">
        <v>96</v>
      </c>
      <c r="AB8" s="64">
        <f t="shared" si="10"/>
        <v>104392.17838729636</v>
      </c>
      <c r="AC8" s="64">
        <f t="shared" ref="AC8:AD28" si="18">AF8+AI8</f>
        <v>4849</v>
      </c>
      <c r="AD8" s="64">
        <f t="shared" si="18"/>
        <v>506197673</v>
      </c>
      <c r="AE8" s="64">
        <f t="shared" si="11"/>
        <v>122179.04477020602</v>
      </c>
      <c r="AF8" s="64">
        <v>2524</v>
      </c>
      <c r="AG8" s="64">
        <v>308379909</v>
      </c>
      <c r="AH8" s="64">
        <f t="shared" si="12"/>
        <v>85082.909247311822</v>
      </c>
      <c r="AI8" s="64">
        <v>2325</v>
      </c>
      <c r="AJ8" s="65">
        <v>197817764</v>
      </c>
      <c r="AK8" s="171"/>
      <c r="AL8" s="121"/>
      <c r="AM8" s="63" t="s">
        <v>96</v>
      </c>
      <c r="AN8" s="64">
        <f t="shared" si="13"/>
        <v>909071.88513513515</v>
      </c>
      <c r="AO8" s="64">
        <f t="shared" ref="AO8:AP28" si="19">AR8+AU8</f>
        <v>148</v>
      </c>
      <c r="AP8" s="64">
        <f t="shared" si="19"/>
        <v>134542639</v>
      </c>
      <c r="AQ8" s="64">
        <f t="shared" si="14"/>
        <v>1045900.0714285715</v>
      </c>
      <c r="AR8" s="64">
        <v>98</v>
      </c>
      <c r="AS8" s="64">
        <v>102498207</v>
      </c>
      <c r="AT8" s="64">
        <f t="shared" si="15"/>
        <v>640888.64</v>
      </c>
      <c r="AU8" s="64">
        <v>50</v>
      </c>
      <c r="AV8" s="65">
        <v>32044432</v>
      </c>
    </row>
    <row r="9" spans="1:48" ht="24" customHeight="1">
      <c r="A9" s="171"/>
      <c r="B9" s="121"/>
      <c r="C9" s="63" t="s">
        <v>97</v>
      </c>
      <c r="D9" s="64">
        <f t="shared" si="4"/>
        <v>1089724.6089084679</v>
      </c>
      <c r="E9" s="64">
        <f t="shared" si="16"/>
        <v>6129</v>
      </c>
      <c r="F9" s="64">
        <f t="shared" si="16"/>
        <v>6678922128</v>
      </c>
      <c r="G9" s="64">
        <f t="shared" si="5"/>
        <v>1140566.0292861501</v>
      </c>
      <c r="H9" s="64">
        <v>3278</v>
      </c>
      <c r="I9" s="64">
        <v>3738775444</v>
      </c>
      <c r="J9" s="64">
        <f t="shared" si="6"/>
        <v>1031268.5668186601</v>
      </c>
      <c r="K9" s="64">
        <v>2851</v>
      </c>
      <c r="L9" s="65">
        <v>2940146684</v>
      </c>
      <c r="M9" s="166"/>
      <c r="N9" s="129"/>
      <c r="O9" s="63" t="s">
        <v>97</v>
      </c>
      <c r="P9" s="64">
        <f t="shared" si="7"/>
        <v>12960.634008973517</v>
      </c>
      <c r="Q9" s="64">
        <v>13961.08</v>
      </c>
      <c r="R9" s="64">
        <f t="shared" si="17"/>
        <v>2171333379</v>
      </c>
      <c r="S9" s="64">
        <f t="shared" si="8"/>
        <v>14083.951619118177</v>
      </c>
      <c r="T9" s="64">
        <v>7612.58</v>
      </c>
      <c r="U9" s="64">
        <v>1286582501</v>
      </c>
      <c r="V9" s="64">
        <f t="shared" si="9"/>
        <v>11613.647292011236</v>
      </c>
      <c r="W9" s="64">
        <v>6348.5</v>
      </c>
      <c r="X9" s="65">
        <v>884750878</v>
      </c>
      <c r="Y9" s="171"/>
      <c r="Z9" s="121"/>
      <c r="AA9" s="63" t="s">
        <v>97</v>
      </c>
      <c r="AB9" s="64">
        <f t="shared" si="10"/>
        <v>93822.170140365808</v>
      </c>
      <c r="AC9" s="64">
        <f t="shared" si="18"/>
        <v>2351</v>
      </c>
      <c r="AD9" s="64">
        <f t="shared" si="18"/>
        <v>220575922</v>
      </c>
      <c r="AE9" s="64">
        <f t="shared" si="11"/>
        <v>111424.0625</v>
      </c>
      <c r="AF9" s="64">
        <v>1200</v>
      </c>
      <c r="AG9" s="64">
        <v>133708875</v>
      </c>
      <c r="AH9" s="64">
        <f t="shared" si="12"/>
        <v>75470.935708079924</v>
      </c>
      <c r="AI9" s="64">
        <v>1151</v>
      </c>
      <c r="AJ9" s="65">
        <v>86867047</v>
      </c>
      <c r="AK9" s="171"/>
      <c r="AL9" s="121"/>
      <c r="AM9" s="63" t="s">
        <v>97</v>
      </c>
      <c r="AN9" s="64">
        <f t="shared" si="13"/>
        <v>914940.19512195117</v>
      </c>
      <c r="AO9" s="64">
        <f t="shared" si="19"/>
        <v>82</v>
      </c>
      <c r="AP9" s="64">
        <f t="shared" si="19"/>
        <v>75025096</v>
      </c>
      <c r="AQ9" s="64">
        <f t="shared" si="14"/>
        <v>1024836.3272727273</v>
      </c>
      <c r="AR9" s="64">
        <v>55</v>
      </c>
      <c r="AS9" s="64">
        <v>56365998</v>
      </c>
      <c r="AT9" s="64">
        <f t="shared" si="15"/>
        <v>691077.70370370371</v>
      </c>
      <c r="AU9" s="64">
        <v>27</v>
      </c>
      <c r="AV9" s="65">
        <v>18659098</v>
      </c>
    </row>
    <row r="10" spans="1:48" ht="24" customHeight="1">
      <c r="A10" s="171"/>
      <c r="B10" s="121"/>
      <c r="C10" s="63" t="s">
        <v>98</v>
      </c>
      <c r="D10" s="64">
        <f t="shared" si="4"/>
        <v>1001296.8971193415</v>
      </c>
      <c r="E10" s="64">
        <f t="shared" si="16"/>
        <v>4374</v>
      </c>
      <c r="F10" s="64">
        <f t="shared" si="16"/>
        <v>4379672628</v>
      </c>
      <c r="G10" s="64">
        <f t="shared" si="5"/>
        <v>1071347.2722427223</v>
      </c>
      <c r="H10" s="64">
        <v>2439</v>
      </c>
      <c r="I10" s="64">
        <v>2613015997</v>
      </c>
      <c r="J10" s="64">
        <f t="shared" si="6"/>
        <v>913000.84289405681</v>
      </c>
      <c r="K10" s="64">
        <v>1935</v>
      </c>
      <c r="L10" s="65">
        <v>1766656631</v>
      </c>
      <c r="M10" s="166"/>
      <c r="N10" s="129"/>
      <c r="O10" s="63" t="s">
        <v>98</v>
      </c>
      <c r="P10" s="64">
        <f t="shared" si="7"/>
        <v>12652.145822768109</v>
      </c>
      <c r="Q10" s="64">
        <v>11318.58</v>
      </c>
      <c r="R10" s="64">
        <f t="shared" si="17"/>
        <v>1718451896</v>
      </c>
      <c r="S10" s="64">
        <f t="shared" si="8"/>
        <v>13900.972306899661</v>
      </c>
      <c r="T10" s="64">
        <v>5822.75</v>
      </c>
      <c r="U10" s="64">
        <v>971302638</v>
      </c>
      <c r="V10" s="64">
        <f t="shared" si="9"/>
        <v>11329.032769693871</v>
      </c>
      <c r="W10" s="64">
        <v>5495.83</v>
      </c>
      <c r="X10" s="65">
        <v>747149258</v>
      </c>
      <c r="Y10" s="171"/>
      <c r="Z10" s="121"/>
      <c r="AA10" s="63" t="s">
        <v>98</v>
      </c>
      <c r="AB10" s="64">
        <f t="shared" si="10"/>
        <v>91670.107932379717</v>
      </c>
      <c r="AC10" s="64">
        <f t="shared" si="18"/>
        <v>1538</v>
      </c>
      <c r="AD10" s="64">
        <f t="shared" si="18"/>
        <v>140988626</v>
      </c>
      <c r="AE10" s="64">
        <f t="shared" si="11"/>
        <v>111558.26065773447</v>
      </c>
      <c r="AF10" s="64">
        <v>821</v>
      </c>
      <c r="AG10" s="64">
        <v>91589332</v>
      </c>
      <c r="AH10" s="64">
        <f t="shared" si="12"/>
        <v>68897.202231520219</v>
      </c>
      <c r="AI10" s="64">
        <v>717</v>
      </c>
      <c r="AJ10" s="65">
        <v>49399294</v>
      </c>
      <c r="AK10" s="171"/>
      <c r="AL10" s="121"/>
      <c r="AM10" s="63" t="s">
        <v>98</v>
      </c>
      <c r="AN10" s="64">
        <f t="shared" si="13"/>
        <v>743607.07407407404</v>
      </c>
      <c r="AO10" s="64">
        <f t="shared" si="19"/>
        <v>54</v>
      </c>
      <c r="AP10" s="64">
        <f t="shared" si="19"/>
        <v>40154782</v>
      </c>
      <c r="AQ10" s="64">
        <f t="shared" si="14"/>
        <v>838726.75</v>
      </c>
      <c r="AR10" s="64">
        <v>32</v>
      </c>
      <c r="AS10" s="64">
        <v>26839256</v>
      </c>
      <c r="AT10" s="64">
        <f t="shared" si="15"/>
        <v>605251.18181818177</v>
      </c>
      <c r="AU10" s="64">
        <v>22</v>
      </c>
      <c r="AV10" s="65">
        <v>13315526</v>
      </c>
    </row>
    <row r="11" spans="1:48" ht="24" customHeight="1">
      <c r="A11" s="171"/>
      <c r="B11" s="121"/>
      <c r="C11" s="63" t="s">
        <v>99</v>
      </c>
      <c r="D11" s="64">
        <f t="shared" si="4"/>
        <v>1083596.8327709036</v>
      </c>
      <c r="E11" s="64">
        <f t="shared" si="16"/>
        <v>8001</v>
      </c>
      <c r="F11" s="64">
        <f t="shared" si="16"/>
        <v>8669858259</v>
      </c>
      <c r="G11" s="64">
        <f t="shared" si="5"/>
        <v>1123203.829827464</v>
      </c>
      <c r="H11" s="64">
        <v>4231</v>
      </c>
      <c r="I11" s="64">
        <v>4752275404</v>
      </c>
      <c r="J11" s="64">
        <f t="shared" si="6"/>
        <v>1039146.6458885942</v>
      </c>
      <c r="K11" s="64">
        <v>3770</v>
      </c>
      <c r="L11" s="65">
        <v>3917582855</v>
      </c>
      <c r="M11" s="166"/>
      <c r="N11" s="129"/>
      <c r="O11" s="63" t="s">
        <v>99</v>
      </c>
      <c r="P11" s="64">
        <f t="shared" si="7"/>
        <v>13783.436975795608</v>
      </c>
      <c r="Q11" s="64">
        <v>20304.580000000002</v>
      </c>
      <c r="R11" s="64">
        <f t="shared" si="17"/>
        <v>3358402785</v>
      </c>
      <c r="S11" s="64">
        <f t="shared" si="8"/>
        <v>15229.963083467504</v>
      </c>
      <c r="T11" s="64">
        <v>10440.67</v>
      </c>
      <c r="U11" s="64">
        <v>1908132224</v>
      </c>
      <c r="V11" s="64">
        <f t="shared" si="9"/>
        <v>12252.317545492393</v>
      </c>
      <c r="W11" s="64">
        <v>9863.92</v>
      </c>
      <c r="X11" s="65">
        <v>1450270561</v>
      </c>
      <c r="Y11" s="171"/>
      <c r="Z11" s="121"/>
      <c r="AA11" s="63" t="s">
        <v>99</v>
      </c>
      <c r="AB11" s="64">
        <f t="shared" si="10"/>
        <v>84637.110506488068</v>
      </c>
      <c r="AC11" s="64">
        <f t="shared" si="18"/>
        <v>2389</v>
      </c>
      <c r="AD11" s="64">
        <f t="shared" si="18"/>
        <v>202198057</v>
      </c>
      <c r="AE11" s="64">
        <f t="shared" si="11"/>
        <v>104672.56796874999</v>
      </c>
      <c r="AF11" s="64">
        <v>1280</v>
      </c>
      <c r="AG11" s="64">
        <v>133980887</v>
      </c>
      <c r="AH11" s="64">
        <f t="shared" si="12"/>
        <v>61512.326420198377</v>
      </c>
      <c r="AI11" s="64">
        <v>1109</v>
      </c>
      <c r="AJ11" s="65">
        <v>68217170</v>
      </c>
      <c r="AK11" s="171"/>
      <c r="AL11" s="121"/>
      <c r="AM11" s="63" t="s">
        <v>99</v>
      </c>
      <c r="AN11" s="64">
        <f t="shared" si="13"/>
        <v>850945.61607142852</v>
      </c>
      <c r="AO11" s="64">
        <f t="shared" si="19"/>
        <v>112</v>
      </c>
      <c r="AP11" s="64">
        <f t="shared" si="19"/>
        <v>95305909</v>
      </c>
      <c r="AQ11" s="64">
        <f t="shared" si="14"/>
        <v>919023.88888888888</v>
      </c>
      <c r="AR11" s="64">
        <v>72</v>
      </c>
      <c r="AS11" s="64">
        <v>66169720</v>
      </c>
      <c r="AT11" s="64">
        <f t="shared" si="15"/>
        <v>728404.72499999998</v>
      </c>
      <c r="AU11" s="64">
        <v>40</v>
      </c>
      <c r="AV11" s="65">
        <v>29136189</v>
      </c>
    </row>
    <row r="12" spans="1:48" ht="24" customHeight="1">
      <c r="A12" s="172"/>
      <c r="B12" s="122"/>
      <c r="C12" s="69" t="s">
        <v>77</v>
      </c>
      <c r="D12" s="70">
        <f t="shared" si="4"/>
        <v>1298413.7094403617</v>
      </c>
      <c r="E12" s="70">
        <f t="shared" si="16"/>
        <v>1769</v>
      </c>
      <c r="F12" s="70">
        <f t="shared" si="16"/>
        <v>2296893852</v>
      </c>
      <c r="G12" s="70">
        <f t="shared" si="5"/>
        <v>1264811.0630105017</v>
      </c>
      <c r="H12" s="70">
        <v>857</v>
      </c>
      <c r="I12" s="70">
        <v>1083943081</v>
      </c>
      <c r="J12" s="70">
        <f t="shared" si="6"/>
        <v>1329989.8804824562</v>
      </c>
      <c r="K12" s="70">
        <v>912</v>
      </c>
      <c r="L12" s="71">
        <v>1212950771</v>
      </c>
      <c r="M12" s="188"/>
      <c r="N12" s="189"/>
      <c r="O12" s="69" t="s">
        <v>77</v>
      </c>
      <c r="P12" s="70">
        <f t="shared" si="7"/>
        <v>15768.217556927397</v>
      </c>
      <c r="Q12" s="70">
        <v>5802.42</v>
      </c>
      <c r="R12" s="70">
        <f t="shared" si="17"/>
        <v>1097925851</v>
      </c>
      <c r="S12" s="70">
        <f t="shared" si="8"/>
        <v>16861.260257717713</v>
      </c>
      <c r="T12" s="70">
        <v>2098.42</v>
      </c>
      <c r="U12" s="70">
        <v>424584069</v>
      </c>
      <c r="V12" s="70">
        <f t="shared" si="9"/>
        <v>15148.978176745861</v>
      </c>
      <c r="W12" s="70">
        <v>3704</v>
      </c>
      <c r="X12" s="71">
        <v>673341782</v>
      </c>
      <c r="Y12" s="172"/>
      <c r="Z12" s="122"/>
      <c r="AA12" s="69" t="s">
        <v>77</v>
      </c>
      <c r="AB12" s="70">
        <f t="shared" si="10"/>
        <v>102446.25384615385</v>
      </c>
      <c r="AC12" s="70">
        <f t="shared" si="18"/>
        <v>130</v>
      </c>
      <c r="AD12" s="70">
        <f t="shared" si="18"/>
        <v>13318013</v>
      </c>
      <c r="AE12" s="70">
        <f t="shared" si="11"/>
        <v>116781.75903614458</v>
      </c>
      <c r="AF12" s="70">
        <v>83</v>
      </c>
      <c r="AG12" s="70">
        <v>9692886</v>
      </c>
      <c r="AH12" s="70">
        <f t="shared" si="12"/>
        <v>77130.361702127659</v>
      </c>
      <c r="AI12" s="70">
        <v>47</v>
      </c>
      <c r="AJ12" s="71">
        <v>3625127</v>
      </c>
      <c r="AK12" s="172"/>
      <c r="AL12" s="122"/>
      <c r="AM12" s="69" t="s">
        <v>77</v>
      </c>
      <c r="AN12" s="70">
        <f t="shared" si="13"/>
        <v>738530.65909090906</v>
      </c>
      <c r="AO12" s="70">
        <f t="shared" si="19"/>
        <v>44</v>
      </c>
      <c r="AP12" s="70">
        <f t="shared" si="19"/>
        <v>32495349</v>
      </c>
      <c r="AQ12" s="70">
        <f t="shared" si="14"/>
        <v>745987.81818181823</v>
      </c>
      <c r="AR12" s="70">
        <v>22</v>
      </c>
      <c r="AS12" s="70">
        <v>16411732</v>
      </c>
      <c r="AT12" s="70">
        <f t="shared" si="15"/>
        <v>731073.5</v>
      </c>
      <c r="AU12" s="70">
        <v>22</v>
      </c>
      <c r="AV12" s="71">
        <v>16083617</v>
      </c>
    </row>
    <row r="13" spans="1:48" ht="24" customHeight="1">
      <c r="A13" s="172"/>
      <c r="B13" s="122"/>
      <c r="C13" s="69" t="s">
        <v>78</v>
      </c>
      <c r="D13" s="70">
        <f t="shared" si="4"/>
        <v>1208364.5920116724</v>
      </c>
      <c r="E13" s="70">
        <f t="shared" si="16"/>
        <v>5483</v>
      </c>
      <c r="F13" s="70">
        <f t="shared" si="16"/>
        <v>6625463058</v>
      </c>
      <c r="G13" s="70">
        <f t="shared" si="5"/>
        <v>1254014.7779836915</v>
      </c>
      <c r="H13" s="70">
        <v>2698</v>
      </c>
      <c r="I13" s="70">
        <v>3383331871</v>
      </c>
      <c r="J13" s="70">
        <f t="shared" si="6"/>
        <v>1164140.462118492</v>
      </c>
      <c r="K13" s="70">
        <v>2785</v>
      </c>
      <c r="L13" s="71">
        <v>3242131187</v>
      </c>
      <c r="M13" s="188"/>
      <c r="N13" s="189"/>
      <c r="O13" s="69" t="s">
        <v>78</v>
      </c>
      <c r="P13" s="70">
        <f t="shared" si="7"/>
        <v>14326.150302248236</v>
      </c>
      <c r="Q13" s="70">
        <v>10849.25</v>
      </c>
      <c r="R13" s="70">
        <f t="shared" si="17"/>
        <v>1865135834</v>
      </c>
      <c r="S13" s="70">
        <f t="shared" si="8"/>
        <v>15575.241275189837</v>
      </c>
      <c r="T13" s="70">
        <v>6036.33</v>
      </c>
      <c r="U13" s="70">
        <v>1128207554</v>
      </c>
      <c r="V13" s="70">
        <f t="shared" si="9"/>
        <v>12759.549296476982</v>
      </c>
      <c r="W13" s="70">
        <v>4812.92</v>
      </c>
      <c r="X13" s="71">
        <v>736928280</v>
      </c>
      <c r="Y13" s="172"/>
      <c r="Z13" s="122"/>
      <c r="AA13" s="69" t="s">
        <v>78</v>
      </c>
      <c r="AB13" s="70">
        <f t="shared" si="10"/>
        <v>99416.69799691833</v>
      </c>
      <c r="AC13" s="70">
        <f t="shared" si="18"/>
        <v>1298</v>
      </c>
      <c r="AD13" s="70">
        <f t="shared" si="18"/>
        <v>129042874</v>
      </c>
      <c r="AE13" s="70">
        <f t="shared" si="11"/>
        <v>122216.39197530864</v>
      </c>
      <c r="AF13" s="70">
        <v>648</v>
      </c>
      <c r="AG13" s="70">
        <v>79196222</v>
      </c>
      <c r="AH13" s="70">
        <f t="shared" si="12"/>
        <v>76687.156923076924</v>
      </c>
      <c r="AI13" s="70">
        <v>650</v>
      </c>
      <c r="AJ13" s="71">
        <v>49846652</v>
      </c>
      <c r="AK13" s="172"/>
      <c r="AL13" s="122"/>
      <c r="AM13" s="69" t="s">
        <v>78</v>
      </c>
      <c r="AN13" s="70">
        <f t="shared" si="13"/>
        <v>1072593.6170212766</v>
      </c>
      <c r="AO13" s="70">
        <f t="shared" si="19"/>
        <v>47</v>
      </c>
      <c r="AP13" s="70">
        <f t="shared" si="19"/>
        <v>50411900</v>
      </c>
      <c r="AQ13" s="70">
        <f t="shared" si="14"/>
        <v>1102202.3548387096</v>
      </c>
      <c r="AR13" s="70">
        <v>31</v>
      </c>
      <c r="AS13" s="70">
        <v>34168273</v>
      </c>
      <c r="AT13" s="70">
        <f t="shared" si="15"/>
        <v>1015226.6875</v>
      </c>
      <c r="AU13" s="70">
        <v>16</v>
      </c>
      <c r="AV13" s="71">
        <v>16243627</v>
      </c>
    </row>
    <row r="14" spans="1:48" ht="24" customHeight="1">
      <c r="A14" s="172"/>
      <c r="B14" s="122"/>
      <c r="C14" s="69" t="s">
        <v>79</v>
      </c>
      <c r="D14" s="70">
        <f t="shared" si="4"/>
        <v>1297570.6512158054</v>
      </c>
      <c r="E14" s="70">
        <f t="shared" si="16"/>
        <v>1316</v>
      </c>
      <c r="F14" s="70">
        <f t="shared" si="16"/>
        <v>1707602977</v>
      </c>
      <c r="G14" s="70">
        <f t="shared" si="5"/>
        <v>1333767.5152</v>
      </c>
      <c r="H14" s="70">
        <v>625</v>
      </c>
      <c r="I14" s="70">
        <v>833604697</v>
      </c>
      <c r="J14" s="70">
        <f t="shared" si="6"/>
        <v>1264831.0853835021</v>
      </c>
      <c r="K14" s="70">
        <v>691</v>
      </c>
      <c r="L14" s="71">
        <v>873998280</v>
      </c>
      <c r="M14" s="188"/>
      <c r="N14" s="189"/>
      <c r="O14" s="69" t="s">
        <v>79</v>
      </c>
      <c r="P14" s="70">
        <f t="shared" si="7"/>
        <v>15124.868260574969</v>
      </c>
      <c r="Q14" s="70">
        <v>2582.75</v>
      </c>
      <c r="R14" s="70">
        <f t="shared" si="17"/>
        <v>468765042</v>
      </c>
      <c r="S14" s="70">
        <f t="shared" si="8"/>
        <v>15916.196273980191</v>
      </c>
      <c r="T14" s="70">
        <v>1203.25</v>
      </c>
      <c r="U14" s="70">
        <v>229813958</v>
      </c>
      <c r="V14" s="70">
        <f t="shared" si="9"/>
        <v>14434.643228222785</v>
      </c>
      <c r="W14" s="70">
        <v>1379.5</v>
      </c>
      <c r="X14" s="71">
        <v>238951084</v>
      </c>
      <c r="Y14" s="172"/>
      <c r="Z14" s="122"/>
      <c r="AA14" s="69" t="s">
        <v>79</v>
      </c>
      <c r="AB14" s="70">
        <f t="shared" si="10"/>
        <v>86765.481081081074</v>
      </c>
      <c r="AC14" s="70">
        <f t="shared" si="18"/>
        <v>185</v>
      </c>
      <c r="AD14" s="70">
        <f t="shared" si="18"/>
        <v>16051614</v>
      </c>
      <c r="AE14" s="70">
        <f t="shared" si="11"/>
        <v>110470.97777777778</v>
      </c>
      <c r="AF14" s="70">
        <v>90</v>
      </c>
      <c r="AG14" s="70">
        <v>9942388</v>
      </c>
      <c r="AH14" s="70">
        <f t="shared" si="12"/>
        <v>64307.642105263156</v>
      </c>
      <c r="AI14" s="70">
        <v>95</v>
      </c>
      <c r="AJ14" s="71">
        <v>6109226</v>
      </c>
      <c r="AK14" s="172"/>
      <c r="AL14" s="122"/>
      <c r="AM14" s="69" t="s">
        <v>79</v>
      </c>
      <c r="AN14" s="70">
        <f t="shared" si="13"/>
        <v>514470</v>
      </c>
      <c r="AO14" s="70">
        <f t="shared" si="19"/>
        <v>7</v>
      </c>
      <c r="AP14" s="70">
        <f t="shared" si="19"/>
        <v>3601290</v>
      </c>
      <c r="AQ14" s="70">
        <f t="shared" si="14"/>
        <v>371073</v>
      </c>
      <c r="AR14" s="70">
        <v>3</v>
      </c>
      <c r="AS14" s="70">
        <v>1113219</v>
      </c>
      <c r="AT14" s="70">
        <f t="shared" si="15"/>
        <v>622017.75</v>
      </c>
      <c r="AU14" s="70">
        <v>4</v>
      </c>
      <c r="AV14" s="71">
        <v>2488071</v>
      </c>
    </row>
    <row r="15" spans="1:48" ht="24" customHeight="1">
      <c r="A15" s="172"/>
      <c r="B15" s="122"/>
      <c r="C15" s="69" t="s">
        <v>80</v>
      </c>
      <c r="D15" s="70">
        <f t="shared" si="4"/>
        <v>1164457.6113207547</v>
      </c>
      <c r="E15" s="70">
        <f t="shared" si="16"/>
        <v>1325</v>
      </c>
      <c r="F15" s="70">
        <f t="shared" si="16"/>
        <v>1542906335</v>
      </c>
      <c r="G15" s="70">
        <f t="shared" si="5"/>
        <v>1195228.388478582</v>
      </c>
      <c r="H15" s="70">
        <v>677</v>
      </c>
      <c r="I15" s="70">
        <v>809169619</v>
      </c>
      <c r="J15" s="70">
        <f t="shared" si="6"/>
        <v>1132309.7469135802</v>
      </c>
      <c r="K15" s="70">
        <v>648</v>
      </c>
      <c r="L15" s="71">
        <v>733736716</v>
      </c>
      <c r="M15" s="188"/>
      <c r="N15" s="189"/>
      <c r="O15" s="69" t="s">
        <v>80</v>
      </c>
      <c r="P15" s="70">
        <f t="shared" si="7"/>
        <v>14024.282630283231</v>
      </c>
      <c r="Q15" s="70">
        <v>3299.67</v>
      </c>
      <c r="R15" s="70">
        <f t="shared" si="17"/>
        <v>555306056</v>
      </c>
      <c r="S15" s="70">
        <f t="shared" si="8"/>
        <v>14869.505874684366</v>
      </c>
      <c r="T15" s="70">
        <v>1621.08</v>
      </c>
      <c r="U15" s="70">
        <v>289255903</v>
      </c>
      <c r="V15" s="70">
        <f t="shared" si="9"/>
        <v>13208.096178515969</v>
      </c>
      <c r="W15" s="70">
        <v>1678.58</v>
      </c>
      <c r="X15" s="71">
        <v>266050153</v>
      </c>
      <c r="Y15" s="172"/>
      <c r="Z15" s="122"/>
      <c r="AA15" s="69" t="s">
        <v>80</v>
      </c>
      <c r="AB15" s="70">
        <f t="shared" si="10"/>
        <v>74575.525157232711</v>
      </c>
      <c r="AC15" s="70">
        <f t="shared" si="18"/>
        <v>318</v>
      </c>
      <c r="AD15" s="70">
        <f t="shared" si="18"/>
        <v>23715017</v>
      </c>
      <c r="AE15" s="70">
        <f t="shared" si="11"/>
        <v>93069.267123287675</v>
      </c>
      <c r="AF15" s="70">
        <v>146</v>
      </c>
      <c r="AG15" s="70">
        <v>13588113</v>
      </c>
      <c r="AH15" s="70">
        <f t="shared" si="12"/>
        <v>58877.348837209305</v>
      </c>
      <c r="AI15" s="70">
        <v>172</v>
      </c>
      <c r="AJ15" s="71">
        <v>10126904</v>
      </c>
      <c r="AK15" s="172"/>
      <c r="AL15" s="122"/>
      <c r="AM15" s="69" t="s">
        <v>80</v>
      </c>
      <c r="AN15" s="70">
        <f t="shared" si="13"/>
        <v>971230.11111111112</v>
      </c>
      <c r="AO15" s="70">
        <f t="shared" si="19"/>
        <v>18</v>
      </c>
      <c r="AP15" s="70">
        <f t="shared" si="19"/>
        <v>17482142</v>
      </c>
      <c r="AQ15" s="70">
        <f t="shared" si="14"/>
        <v>1163308.1000000001</v>
      </c>
      <c r="AR15" s="70">
        <v>10</v>
      </c>
      <c r="AS15" s="70">
        <v>11633081</v>
      </c>
      <c r="AT15" s="70">
        <f t="shared" si="15"/>
        <v>731132.625</v>
      </c>
      <c r="AU15" s="70">
        <v>8</v>
      </c>
      <c r="AV15" s="71">
        <v>5849061</v>
      </c>
    </row>
    <row r="16" spans="1:48" ht="24" customHeight="1">
      <c r="A16" s="172"/>
      <c r="B16" s="122"/>
      <c r="C16" s="69" t="s">
        <v>81</v>
      </c>
      <c r="D16" s="70">
        <f t="shared" si="4"/>
        <v>1106242.3098425197</v>
      </c>
      <c r="E16" s="70">
        <f t="shared" si="16"/>
        <v>2540</v>
      </c>
      <c r="F16" s="70">
        <f t="shared" si="16"/>
        <v>2809855467</v>
      </c>
      <c r="G16" s="70">
        <f t="shared" si="5"/>
        <v>1179398.9293785312</v>
      </c>
      <c r="H16" s="70">
        <v>1416</v>
      </c>
      <c r="I16" s="70">
        <v>1670028884</v>
      </c>
      <c r="J16" s="70">
        <f t="shared" si="6"/>
        <v>1014080.5898576513</v>
      </c>
      <c r="K16" s="70">
        <v>1124</v>
      </c>
      <c r="L16" s="71">
        <v>1139826583</v>
      </c>
      <c r="M16" s="188"/>
      <c r="N16" s="189"/>
      <c r="O16" s="69" t="s">
        <v>81</v>
      </c>
      <c r="P16" s="70">
        <f t="shared" si="7"/>
        <v>12868.123659019742</v>
      </c>
      <c r="Q16" s="70">
        <v>6803.17</v>
      </c>
      <c r="R16" s="70">
        <f t="shared" si="17"/>
        <v>1050528394</v>
      </c>
      <c r="S16" s="70">
        <f t="shared" si="8"/>
        <v>14149.711985604015</v>
      </c>
      <c r="T16" s="70">
        <v>3519.5</v>
      </c>
      <c r="U16" s="70">
        <v>597598936</v>
      </c>
      <c r="V16" s="70">
        <f t="shared" si="9"/>
        <v>11494.492899712821</v>
      </c>
      <c r="W16" s="70">
        <v>3283.67</v>
      </c>
      <c r="X16" s="71">
        <v>452929458</v>
      </c>
      <c r="Y16" s="172"/>
      <c r="Z16" s="122"/>
      <c r="AA16" s="69" t="s">
        <v>81</v>
      </c>
      <c r="AB16" s="70">
        <f t="shared" si="10"/>
        <v>77628.47161066049</v>
      </c>
      <c r="AC16" s="70">
        <f t="shared" si="18"/>
        <v>863</v>
      </c>
      <c r="AD16" s="70">
        <f t="shared" si="18"/>
        <v>66993371</v>
      </c>
      <c r="AE16" s="70">
        <f t="shared" si="11"/>
        <v>91628.361702127659</v>
      </c>
      <c r="AF16" s="70">
        <v>423</v>
      </c>
      <c r="AG16" s="70">
        <v>38758797</v>
      </c>
      <c r="AH16" s="70">
        <f t="shared" si="12"/>
        <v>64169.486363636366</v>
      </c>
      <c r="AI16" s="70">
        <v>440</v>
      </c>
      <c r="AJ16" s="71">
        <v>28234574</v>
      </c>
      <c r="AK16" s="172"/>
      <c r="AL16" s="122"/>
      <c r="AM16" s="69" t="s">
        <v>81</v>
      </c>
      <c r="AN16" s="70">
        <f t="shared" si="13"/>
        <v>710312.85714285716</v>
      </c>
      <c r="AO16" s="70">
        <f t="shared" si="19"/>
        <v>35</v>
      </c>
      <c r="AP16" s="70">
        <f t="shared" si="19"/>
        <v>24860950</v>
      </c>
      <c r="AQ16" s="70">
        <f t="shared" si="14"/>
        <v>819551.07407407404</v>
      </c>
      <c r="AR16" s="70">
        <v>27</v>
      </c>
      <c r="AS16" s="70">
        <v>22127879</v>
      </c>
      <c r="AT16" s="70">
        <f t="shared" si="15"/>
        <v>341633.875</v>
      </c>
      <c r="AU16" s="70">
        <v>8</v>
      </c>
      <c r="AV16" s="71">
        <v>2733071</v>
      </c>
    </row>
    <row r="17" spans="1:48" ht="24" customHeight="1">
      <c r="A17" s="172"/>
      <c r="B17" s="122"/>
      <c r="C17" s="69" t="s">
        <v>82</v>
      </c>
      <c r="D17" s="70">
        <f t="shared" si="4"/>
        <v>1059912.1955555556</v>
      </c>
      <c r="E17" s="70">
        <f t="shared" si="16"/>
        <v>1125</v>
      </c>
      <c r="F17" s="70">
        <f t="shared" si="16"/>
        <v>1192401220</v>
      </c>
      <c r="G17" s="70">
        <f t="shared" si="5"/>
        <v>1096000.8630136987</v>
      </c>
      <c r="H17" s="70">
        <v>584</v>
      </c>
      <c r="I17" s="70">
        <v>640064504</v>
      </c>
      <c r="J17" s="70">
        <f t="shared" si="6"/>
        <v>1020955.1127541589</v>
      </c>
      <c r="K17" s="70">
        <v>541</v>
      </c>
      <c r="L17" s="71">
        <v>552336716</v>
      </c>
      <c r="M17" s="188"/>
      <c r="N17" s="189"/>
      <c r="O17" s="69" t="s">
        <v>82</v>
      </c>
      <c r="P17" s="70">
        <f t="shared" si="7"/>
        <v>14188.730175484894</v>
      </c>
      <c r="Q17" s="70">
        <v>3789.5</v>
      </c>
      <c r="R17" s="70">
        <f t="shared" si="17"/>
        <v>645218316</v>
      </c>
      <c r="S17" s="70">
        <f t="shared" si="8"/>
        <v>15038.332442051111</v>
      </c>
      <c r="T17" s="70">
        <v>1608.17</v>
      </c>
      <c r="U17" s="70">
        <v>290210341</v>
      </c>
      <c r="V17" s="70">
        <f t="shared" si="9"/>
        <v>13562.366958079094</v>
      </c>
      <c r="W17" s="70">
        <v>2181.33</v>
      </c>
      <c r="X17" s="71">
        <v>355007975</v>
      </c>
      <c r="Y17" s="172"/>
      <c r="Z17" s="122"/>
      <c r="AA17" s="69" t="s">
        <v>82</v>
      </c>
      <c r="AB17" s="70">
        <f t="shared" si="10"/>
        <v>78064.443478260873</v>
      </c>
      <c r="AC17" s="70">
        <f t="shared" si="18"/>
        <v>230</v>
      </c>
      <c r="AD17" s="70">
        <f t="shared" si="18"/>
        <v>17954822</v>
      </c>
      <c r="AE17" s="70">
        <f t="shared" si="11"/>
        <v>87730.063999999998</v>
      </c>
      <c r="AF17" s="70">
        <v>125</v>
      </c>
      <c r="AG17" s="70">
        <v>10966258</v>
      </c>
      <c r="AH17" s="70">
        <f t="shared" si="12"/>
        <v>66557.752380952385</v>
      </c>
      <c r="AI17" s="70">
        <v>105</v>
      </c>
      <c r="AJ17" s="71">
        <v>6988564</v>
      </c>
      <c r="AK17" s="172"/>
      <c r="AL17" s="122"/>
      <c r="AM17" s="69" t="s">
        <v>82</v>
      </c>
      <c r="AN17" s="70">
        <f t="shared" si="13"/>
        <v>775750.96296296292</v>
      </c>
      <c r="AO17" s="70">
        <f t="shared" si="19"/>
        <v>27</v>
      </c>
      <c r="AP17" s="70">
        <f t="shared" si="19"/>
        <v>20945276</v>
      </c>
      <c r="AQ17" s="70">
        <f t="shared" si="14"/>
        <v>771855.33333333337</v>
      </c>
      <c r="AR17" s="70">
        <v>12</v>
      </c>
      <c r="AS17" s="70">
        <v>9262264</v>
      </c>
      <c r="AT17" s="70">
        <f t="shared" si="15"/>
        <v>778867.46666666667</v>
      </c>
      <c r="AU17" s="70">
        <v>15</v>
      </c>
      <c r="AV17" s="71">
        <v>11683012</v>
      </c>
    </row>
    <row r="18" spans="1:48" ht="24" customHeight="1">
      <c r="A18" s="172"/>
      <c r="B18" s="122"/>
      <c r="C18" s="69" t="s">
        <v>83</v>
      </c>
      <c r="D18" s="70">
        <f t="shared" si="4"/>
        <v>1060464.9637784092</v>
      </c>
      <c r="E18" s="70">
        <f t="shared" si="16"/>
        <v>1408</v>
      </c>
      <c r="F18" s="70">
        <f t="shared" si="16"/>
        <v>1493134669</v>
      </c>
      <c r="G18" s="70">
        <f t="shared" si="5"/>
        <v>1090499.3181818181</v>
      </c>
      <c r="H18" s="70">
        <v>770</v>
      </c>
      <c r="I18" s="70">
        <v>839684475</v>
      </c>
      <c r="J18" s="70">
        <f t="shared" si="6"/>
        <v>1024216.605015674</v>
      </c>
      <c r="K18" s="70">
        <v>638</v>
      </c>
      <c r="L18" s="71">
        <v>653450194</v>
      </c>
      <c r="M18" s="188"/>
      <c r="N18" s="189"/>
      <c r="O18" s="69" t="s">
        <v>83</v>
      </c>
      <c r="P18" s="70">
        <f t="shared" si="7"/>
        <v>12689.524587312355</v>
      </c>
      <c r="Q18" s="70">
        <v>4790.75</v>
      </c>
      <c r="R18" s="70">
        <f t="shared" si="17"/>
        <v>729508079</v>
      </c>
      <c r="S18" s="70">
        <f t="shared" si="8"/>
        <v>13824.285555328895</v>
      </c>
      <c r="T18" s="70">
        <v>2156.92</v>
      </c>
      <c r="U18" s="70">
        <v>357814536</v>
      </c>
      <c r="V18" s="70">
        <f t="shared" si="9"/>
        <v>11760.235822610673</v>
      </c>
      <c r="W18" s="70">
        <v>2633.83</v>
      </c>
      <c r="X18" s="71">
        <v>371693543</v>
      </c>
      <c r="Y18" s="172"/>
      <c r="Z18" s="122"/>
      <c r="AA18" s="69" t="s">
        <v>83</v>
      </c>
      <c r="AB18" s="70">
        <f t="shared" si="10"/>
        <v>84107.28</v>
      </c>
      <c r="AC18" s="70">
        <f t="shared" si="18"/>
        <v>200</v>
      </c>
      <c r="AD18" s="70">
        <f t="shared" si="18"/>
        <v>16821456</v>
      </c>
      <c r="AE18" s="70">
        <f t="shared" si="11"/>
        <v>96946.521739130432</v>
      </c>
      <c r="AF18" s="70">
        <v>115</v>
      </c>
      <c r="AG18" s="70">
        <v>11148850</v>
      </c>
      <c r="AH18" s="70">
        <f t="shared" si="12"/>
        <v>66736.541176470593</v>
      </c>
      <c r="AI18" s="70">
        <v>85</v>
      </c>
      <c r="AJ18" s="71">
        <v>5672606</v>
      </c>
      <c r="AK18" s="172"/>
      <c r="AL18" s="122"/>
      <c r="AM18" s="69" t="s">
        <v>83</v>
      </c>
      <c r="AN18" s="70">
        <f t="shared" si="13"/>
        <v>610872.65789473685</v>
      </c>
      <c r="AO18" s="70">
        <f t="shared" si="19"/>
        <v>38</v>
      </c>
      <c r="AP18" s="70">
        <f t="shared" si="19"/>
        <v>23213161</v>
      </c>
      <c r="AQ18" s="70">
        <f t="shared" si="14"/>
        <v>734985.31818181823</v>
      </c>
      <c r="AR18" s="70">
        <v>22</v>
      </c>
      <c r="AS18" s="70">
        <v>16169677</v>
      </c>
      <c r="AT18" s="70">
        <f t="shared" si="15"/>
        <v>440217.75</v>
      </c>
      <c r="AU18" s="70">
        <v>16</v>
      </c>
      <c r="AV18" s="71">
        <v>7043484</v>
      </c>
    </row>
    <row r="19" spans="1:48" ht="24" customHeight="1">
      <c r="A19" s="172"/>
      <c r="B19" s="122"/>
      <c r="C19" s="69" t="s">
        <v>84</v>
      </c>
      <c r="D19" s="70">
        <f t="shared" si="4"/>
        <v>1106483.2515527951</v>
      </c>
      <c r="E19" s="70">
        <f t="shared" si="16"/>
        <v>644</v>
      </c>
      <c r="F19" s="70">
        <f t="shared" si="16"/>
        <v>712575214</v>
      </c>
      <c r="G19" s="70">
        <f t="shared" si="5"/>
        <v>1144243.8169398906</v>
      </c>
      <c r="H19" s="70">
        <v>366</v>
      </c>
      <c r="I19" s="70">
        <v>418793237</v>
      </c>
      <c r="J19" s="70">
        <f t="shared" si="6"/>
        <v>1056769.7014388489</v>
      </c>
      <c r="K19" s="70">
        <v>278</v>
      </c>
      <c r="L19" s="71">
        <v>293781977</v>
      </c>
      <c r="M19" s="188"/>
      <c r="N19" s="189"/>
      <c r="O19" s="69" t="s">
        <v>84</v>
      </c>
      <c r="P19" s="70">
        <f t="shared" si="7"/>
        <v>13367.117202878799</v>
      </c>
      <c r="Q19" s="70">
        <v>1496.92</v>
      </c>
      <c r="R19" s="70">
        <f t="shared" si="17"/>
        <v>240114061</v>
      </c>
      <c r="S19" s="70">
        <f t="shared" si="8"/>
        <v>14600.527171022009</v>
      </c>
      <c r="T19" s="70">
        <v>802.08</v>
      </c>
      <c r="U19" s="70">
        <v>140529490</v>
      </c>
      <c r="V19" s="70">
        <f t="shared" si="9"/>
        <v>11943.517479095606</v>
      </c>
      <c r="W19" s="70">
        <v>694.83</v>
      </c>
      <c r="X19" s="71">
        <v>99584571</v>
      </c>
      <c r="Y19" s="172"/>
      <c r="Z19" s="122"/>
      <c r="AA19" s="69" t="s">
        <v>84</v>
      </c>
      <c r="AB19" s="70">
        <f t="shared" si="10"/>
        <v>75946.153488372089</v>
      </c>
      <c r="AC19" s="70">
        <f t="shared" si="18"/>
        <v>215</v>
      </c>
      <c r="AD19" s="70">
        <f t="shared" si="18"/>
        <v>16328423</v>
      </c>
      <c r="AE19" s="70">
        <f t="shared" si="11"/>
        <v>89061.027027027027</v>
      </c>
      <c r="AF19" s="70">
        <v>111</v>
      </c>
      <c r="AG19" s="70">
        <v>9885774</v>
      </c>
      <c r="AH19" s="70">
        <f t="shared" si="12"/>
        <v>61948.548076923078</v>
      </c>
      <c r="AI19" s="70">
        <v>104</v>
      </c>
      <c r="AJ19" s="71">
        <v>6442649</v>
      </c>
      <c r="AK19" s="172"/>
      <c r="AL19" s="122"/>
      <c r="AM19" s="69" t="s">
        <v>84</v>
      </c>
      <c r="AN19" s="70">
        <f t="shared" si="13"/>
        <v>1023935.8333333334</v>
      </c>
      <c r="AO19" s="70">
        <f t="shared" si="19"/>
        <v>6</v>
      </c>
      <c r="AP19" s="70">
        <f t="shared" si="19"/>
        <v>6143615</v>
      </c>
      <c r="AQ19" s="70">
        <f t="shared" si="14"/>
        <v>1194386.6000000001</v>
      </c>
      <c r="AR19" s="70">
        <v>5</v>
      </c>
      <c r="AS19" s="70">
        <v>5971933</v>
      </c>
      <c r="AT19" s="70">
        <f t="shared" si="15"/>
        <v>171682</v>
      </c>
      <c r="AU19" s="70">
        <v>1</v>
      </c>
      <c r="AV19" s="71">
        <v>171682</v>
      </c>
    </row>
    <row r="20" spans="1:48" ht="24" customHeight="1">
      <c r="A20" s="172"/>
      <c r="B20" s="122"/>
      <c r="C20" s="69" t="s">
        <v>85</v>
      </c>
      <c r="D20" s="70">
        <f t="shared" si="4"/>
        <v>961732.67539267021</v>
      </c>
      <c r="E20" s="70">
        <f t="shared" si="16"/>
        <v>1910</v>
      </c>
      <c r="F20" s="70">
        <f t="shared" si="16"/>
        <v>1836909410</v>
      </c>
      <c r="G20" s="70">
        <f t="shared" si="5"/>
        <v>1000142.1298076923</v>
      </c>
      <c r="H20" s="70">
        <v>1040</v>
      </c>
      <c r="I20" s="70">
        <v>1040147815</v>
      </c>
      <c r="J20" s="70">
        <f t="shared" si="6"/>
        <v>915817.92528735637</v>
      </c>
      <c r="K20" s="70">
        <v>870</v>
      </c>
      <c r="L20" s="71">
        <v>796761595</v>
      </c>
      <c r="M20" s="188"/>
      <c r="N20" s="189"/>
      <c r="O20" s="69" t="s">
        <v>85</v>
      </c>
      <c r="P20" s="70">
        <f t="shared" si="7"/>
        <v>12669.633613841821</v>
      </c>
      <c r="Q20" s="70">
        <v>3787.17</v>
      </c>
      <c r="R20" s="70">
        <f t="shared" si="17"/>
        <v>575784676</v>
      </c>
      <c r="S20" s="70">
        <f t="shared" si="8"/>
        <v>13465.103652427029</v>
      </c>
      <c r="T20" s="70">
        <v>1823.08</v>
      </c>
      <c r="U20" s="70">
        <v>294575534</v>
      </c>
      <c r="V20" s="70">
        <f t="shared" si="9"/>
        <v>11931.3343482275</v>
      </c>
      <c r="W20" s="70">
        <v>1964.08</v>
      </c>
      <c r="X20" s="71">
        <v>281209142</v>
      </c>
      <c r="Y20" s="172"/>
      <c r="Z20" s="122"/>
      <c r="AA20" s="69" t="s">
        <v>85</v>
      </c>
      <c r="AB20" s="70">
        <f t="shared" si="10"/>
        <v>76632.369318181823</v>
      </c>
      <c r="AC20" s="70">
        <f t="shared" si="18"/>
        <v>528</v>
      </c>
      <c r="AD20" s="70">
        <f t="shared" si="18"/>
        <v>40461891</v>
      </c>
      <c r="AE20" s="70">
        <f t="shared" si="11"/>
        <v>101135.73897058824</v>
      </c>
      <c r="AF20" s="70">
        <v>272</v>
      </c>
      <c r="AG20" s="70">
        <v>27508921</v>
      </c>
      <c r="AH20" s="70">
        <f t="shared" si="12"/>
        <v>50597.5390625</v>
      </c>
      <c r="AI20" s="70">
        <v>256</v>
      </c>
      <c r="AJ20" s="71">
        <v>12952970</v>
      </c>
      <c r="AK20" s="172"/>
      <c r="AL20" s="122"/>
      <c r="AM20" s="69" t="s">
        <v>85</v>
      </c>
      <c r="AN20" s="70">
        <f t="shared" si="13"/>
        <v>653617.28571428568</v>
      </c>
      <c r="AO20" s="70">
        <f t="shared" si="19"/>
        <v>21</v>
      </c>
      <c r="AP20" s="70">
        <f t="shared" si="19"/>
        <v>13725963</v>
      </c>
      <c r="AQ20" s="70">
        <f t="shared" si="14"/>
        <v>797424</v>
      </c>
      <c r="AR20" s="70">
        <v>12</v>
      </c>
      <c r="AS20" s="70">
        <v>9569088</v>
      </c>
      <c r="AT20" s="70">
        <f t="shared" si="15"/>
        <v>461875</v>
      </c>
      <c r="AU20" s="70">
        <v>9</v>
      </c>
      <c r="AV20" s="71">
        <v>4156875</v>
      </c>
    </row>
    <row r="21" spans="1:48" ht="24" customHeight="1">
      <c r="A21" s="172"/>
      <c r="B21" s="122"/>
      <c r="C21" s="69" t="s">
        <v>86</v>
      </c>
      <c r="D21" s="70">
        <f t="shared" si="4"/>
        <v>971521.27555555559</v>
      </c>
      <c r="E21" s="70">
        <f t="shared" si="16"/>
        <v>450</v>
      </c>
      <c r="F21" s="70">
        <f t="shared" si="16"/>
        <v>437184574</v>
      </c>
      <c r="G21" s="70">
        <f t="shared" si="5"/>
        <v>981691.01908396941</v>
      </c>
      <c r="H21" s="70">
        <v>262</v>
      </c>
      <c r="I21" s="70">
        <v>257203047</v>
      </c>
      <c r="J21" s="70">
        <f t="shared" si="6"/>
        <v>957348.54787234042</v>
      </c>
      <c r="K21" s="70">
        <v>188</v>
      </c>
      <c r="L21" s="71">
        <v>179981527</v>
      </c>
      <c r="M21" s="188"/>
      <c r="N21" s="189"/>
      <c r="O21" s="69" t="s">
        <v>86</v>
      </c>
      <c r="P21" s="70">
        <f t="shared" si="7"/>
        <v>13046.432154729526</v>
      </c>
      <c r="Q21" s="70">
        <v>1103</v>
      </c>
      <c r="R21" s="70">
        <f t="shared" si="17"/>
        <v>172682576</v>
      </c>
      <c r="S21" s="70">
        <f t="shared" si="8"/>
        <v>14540.708258225541</v>
      </c>
      <c r="T21" s="70">
        <v>504.83</v>
      </c>
      <c r="U21" s="70">
        <v>88087029</v>
      </c>
      <c r="V21" s="70">
        <f t="shared" si="9"/>
        <v>11785.32677443982</v>
      </c>
      <c r="W21" s="70">
        <v>598.16999999999996</v>
      </c>
      <c r="X21" s="71">
        <v>84595547</v>
      </c>
      <c r="Y21" s="172"/>
      <c r="Z21" s="122"/>
      <c r="AA21" s="69" t="s">
        <v>86</v>
      </c>
      <c r="AB21" s="70">
        <f t="shared" si="10"/>
        <v>100576.50909090909</v>
      </c>
      <c r="AC21" s="70">
        <f t="shared" si="18"/>
        <v>110</v>
      </c>
      <c r="AD21" s="70">
        <f t="shared" si="18"/>
        <v>11063416</v>
      </c>
      <c r="AE21" s="70">
        <f t="shared" si="11"/>
        <v>123138.13333333333</v>
      </c>
      <c r="AF21" s="70">
        <v>60</v>
      </c>
      <c r="AG21" s="70">
        <v>7388288</v>
      </c>
      <c r="AH21" s="70">
        <f t="shared" si="12"/>
        <v>73502.559999999998</v>
      </c>
      <c r="AI21" s="70">
        <v>50</v>
      </c>
      <c r="AJ21" s="71">
        <v>3675128</v>
      </c>
      <c r="AK21" s="172"/>
      <c r="AL21" s="122"/>
      <c r="AM21" s="69" t="s">
        <v>86</v>
      </c>
      <c r="AN21" s="70">
        <f t="shared" si="13"/>
        <v>874996.42857142852</v>
      </c>
      <c r="AO21" s="70">
        <f t="shared" si="19"/>
        <v>7</v>
      </c>
      <c r="AP21" s="70">
        <f t="shared" si="19"/>
        <v>6124975</v>
      </c>
      <c r="AQ21" s="70">
        <f t="shared" si="14"/>
        <v>1126796</v>
      </c>
      <c r="AR21" s="70">
        <v>4</v>
      </c>
      <c r="AS21" s="70">
        <v>4507184</v>
      </c>
      <c r="AT21" s="70">
        <f t="shared" si="15"/>
        <v>539263.66666666663</v>
      </c>
      <c r="AU21" s="70">
        <v>3</v>
      </c>
      <c r="AV21" s="71">
        <v>1617791</v>
      </c>
    </row>
    <row r="22" spans="1:48" ht="24" customHeight="1">
      <c r="A22" s="172"/>
      <c r="B22" s="122"/>
      <c r="C22" s="69" t="s">
        <v>87</v>
      </c>
      <c r="D22" s="70">
        <f t="shared" si="4"/>
        <v>1006314.470323741</v>
      </c>
      <c r="E22" s="70">
        <f t="shared" si="16"/>
        <v>1112</v>
      </c>
      <c r="F22" s="70">
        <f t="shared" si="16"/>
        <v>1119021691</v>
      </c>
      <c r="G22" s="70">
        <f t="shared" si="5"/>
        <v>1068122.4384057971</v>
      </c>
      <c r="H22" s="70">
        <v>552</v>
      </c>
      <c r="I22" s="70">
        <v>589603586</v>
      </c>
      <c r="J22" s="70">
        <f t="shared" si="6"/>
        <v>945389.47321428568</v>
      </c>
      <c r="K22" s="70">
        <v>560</v>
      </c>
      <c r="L22" s="71">
        <v>529418105</v>
      </c>
      <c r="M22" s="188"/>
      <c r="N22" s="189"/>
      <c r="O22" s="69" t="s">
        <v>87</v>
      </c>
      <c r="P22" s="70">
        <f t="shared" si="7"/>
        <v>14528.565702333282</v>
      </c>
      <c r="Q22" s="70">
        <v>2866.92</v>
      </c>
      <c r="R22" s="70">
        <f t="shared" si="17"/>
        <v>499826827</v>
      </c>
      <c r="S22" s="70">
        <f t="shared" si="8"/>
        <v>15701.369705622406</v>
      </c>
      <c r="T22" s="70">
        <v>1225.75</v>
      </c>
      <c r="U22" s="70">
        <v>230951447</v>
      </c>
      <c r="V22" s="70">
        <f t="shared" si="9"/>
        <v>13652.626886103613</v>
      </c>
      <c r="W22" s="70">
        <v>1641.17</v>
      </c>
      <c r="X22" s="71">
        <v>268875380</v>
      </c>
      <c r="Y22" s="172"/>
      <c r="Z22" s="122"/>
      <c r="AA22" s="69" t="s">
        <v>87</v>
      </c>
      <c r="AB22" s="70">
        <f t="shared" si="10"/>
        <v>90168.816513761471</v>
      </c>
      <c r="AC22" s="70">
        <f t="shared" si="18"/>
        <v>218</v>
      </c>
      <c r="AD22" s="70">
        <f t="shared" si="18"/>
        <v>19656802</v>
      </c>
      <c r="AE22" s="70">
        <f t="shared" si="11"/>
        <v>107234.0534351145</v>
      </c>
      <c r="AF22" s="70">
        <v>131</v>
      </c>
      <c r="AG22" s="70">
        <v>14047661</v>
      </c>
      <c r="AH22" s="70">
        <f t="shared" si="12"/>
        <v>64472.885057471263</v>
      </c>
      <c r="AI22" s="70">
        <v>87</v>
      </c>
      <c r="AJ22" s="71">
        <v>5609141</v>
      </c>
      <c r="AK22" s="172"/>
      <c r="AL22" s="122"/>
      <c r="AM22" s="69" t="s">
        <v>87</v>
      </c>
      <c r="AN22" s="70">
        <f t="shared" si="13"/>
        <v>830645.55</v>
      </c>
      <c r="AO22" s="70">
        <f t="shared" si="19"/>
        <v>20</v>
      </c>
      <c r="AP22" s="70">
        <f t="shared" si="19"/>
        <v>16612911</v>
      </c>
      <c r="AQ22" s="70">
        <f t="shared" si="14"/>
        <v>1045768</v>
      </c>
      <c r="AR22" s="70">
        <v>13</v>
      </c>
      <c r="AS22" s="70">
        <v>13594984</v>
      </c>
      <c r="AT22" s="70">
        <f t="shared" si="15"/>
        <v>431132.42857142858</v>
      </c>
      <c r="AU22" s="70">
        <v>7</v>
      </c>
      <c r="AV22" s="71">
        <v>3017927</v>
      </c>
    </row>
    <row r="23" spans="1:48" ht="24" customHeight="1">
      <c r="A23" s="172"/>
      <c r="B23" s="122"/>
      <c r="C23" s="69" t="s">
        <v>88</v>
      </c>
      <c r="D23" s="70">
        <f t="shared" si="4"/>
        <v>1072015.874074074</v>
      </c>
      <c r="E23" s="70">
        <f t="shared" si="16"/>
        <v>270</v>
      </c>
      <c r="F23" s="70">
        <f t="shared" si="16"/>
        <v>289444286</v>
      </c>
      <c r="G23" s="70">
        <f t="shared" si="5"/>
        <v>1218844.3806451613</v>
      </c>
      <c r="H23" s="70">
        <v>155</v>
      </c>
      <c r="I23" s="70">
        <v>188920879</v>
      </c>
      <c r="J23" s="70">
        <f t="shared" si="6"/>
        <v>874116.58260869561</v>
      </c>
      <c r="K23" s="70">
        <v>115</v>
      </c>
      <c r="L23" s="71">
        <v>100523407</v>
      </c>
      <c r="M23" s="188"/>
      <c r="N23" s="189"/>
      <c r="O23" s="69" t="s">
        <v>88</v>
      </c>
      <c r="P23" s="70">
        <f t="shared" si="7"/>
        <v>13251.064692982456</v>
      </c>
      <c r="Q23" s="70">
        <v>456</v>
      </c>
      <c r="R23" s="70">
        <f t="shared" si="17"/>
        <v>72509826</v>
      </c>
      <c r="S23" s="70">
        <f t="shared" si="8"/>
        <v>13776.419960683013</v>
      </c>
      <c r="T23" s="70">
        <v>205.17</v>
      </c>
      <c r="U23" s="70">
        <v>33918097</v>
      </c>
      <c r="V23" s="70">
        <f t="shared" si="9"/>
        <v>12821.342808542306</v>
      </c>
      <c r="W23" s="70">
        <v>250.83</v>
      </c>
      <c r="X23" s="71">
        <v>38591729</v>
      </c>
      <c r="Y23" s="172"/>
      <c r="Z23" s="122"/>
      <c r="AA23" s="69" t="s">
        <v>88</v>
      </c>
      <c r="AB23" s="70">
        <f t="shared" si="10"/>
        <v>92368.692307692312</v>
      </c>
      <c r="AC23" s="70">
        <f t="shared" si="18"/>
        <v>13</v>
      </c>
      <c r="AD23" s="70">
        <f t="shared" si="18"/>
        <v>1200793</v>
      </c>
      <c r="AE23" s="70">
        <f t="shared" si="11"/>
        <v>113383.125</v>
      </c>
      <c r="AF23" s="70">
        <v>8</v>
      </c>
      <c r="AG23" s="70">
        <v>907065</v>
      </c>
      <c r="AH23" s="70">
        <f t="shared" si="12"/>
        <v>58745.599999999999</v>
      </c>
      <c r="AI23" s="70">
        <v>5</v>
      </c>
      <c r="AJ23" s="71">
        <v>293728</v>
      </c>
      <c r="AK23" s="172"/>
      <c r="AL23" s="122"/>
      <c r="AM23" s="69" t="s">
        <v>88</v>
      </c>
      <c r="AN23" s="70">
        <f t="shared" si="13"/>
        <v>853265.5</v>
      </c>
      <c r="AO23" s="70">
        <f t="shared" si="19"/>
        <v>2</v>
      </c>
      <c r="AP23" s="70">
        <f t="shared" si="19"/>
        <v>1706531</v>
      </c>
      <c r="AQ23" s="70">
        <f t="shared" si="14"/>
        <v>1400568</v>
      </c>
      <c r="AR23" s="70">
        <v>1</v>
      </c>
      <c r="AS23" s="70">
        <v>1400568</v>
      </c>
      <c r="AT23" s="70">
        <f t="shared" si="15"/>
        <v>305963</v>
      </c>
      <c r="AU23" s="70">
        <v>1</v>
      </c>
      <c r="AV23" s="71">
        <v>305963</v>
      </c>
    </row>
    <row r="24" spans="1:48" ht="24" customHeight="1">
      <c r="A24" s="172"/>
      <c r="B24" s="122"/>
      <c r="C24" s="69" t="s">
        <v>89</v>
      </c>
      <c r="D24" s="70">
        <f t="shared" si="4"/>
        <v>1285894.6003307607</v>
      </c>
      <c r="E24" s="70">
        <f t="shared" si="16"/>
        <v>1814</v>
      </c>
      <c r="F24" s="70">
        <f t="shared" si="16"/>
        <v>2332612805</v>
      </c>
      <c r="G24" s="70">
        <f t="shared" si="5"/>
        <v>1268230.7877412031</v>
      </c>
      <c r="H24" s="70">
        <v>881</v>
      </c>
      <c r="I24" s="70">
        <v>1117311324</v>
      </c>
      <c r="J24" s="70">
        <f t="shared" si="6"/>
        <v>1302573.9346195071</v>
      </c>
      <c r="K24" s="70">
        <v>933</v>
      </c>
      <c r="L24" s="71">
        <v>1215301481</v>
      </c>
      <c r="M24" s="188"/>
      <c r="N24" s="189"/>
      <c r="O24" s="69" t="s">
        <v>89</v>
      </c>
      <c r="P24" s="70">
        <f t="shared" si="7"/>
        <v>16054.760166761318</v>
      </c>
      <c r="Q24" s="70">
        <v>3733.08</v>
      </c>
      <c r="R24" s="70">
        <f t="shared" si="17"/>
        <v>719204449</v>
      </c>
      <c r="S24" s="70">
        <f t="shared" si="8"/>
        <v>16960.692849826646</v>
      </c>
      <c r="T24" s="70">
        <v>1555.58</v>
      </c>
      <c r="U24" s="70">
        <v>316604575</v>
      </c>
      <c r="V24" s="70">
        <f t="shared" si="9"/>
        <v>15407.572675086107</v>
      </c>
      <c r="W24" s="70">
        <v>2177.5</v>
      </c>
      <c r="X24" s="71">
        <v>402599874</v>
      </c>
      <c r="Y24" s="172"/>
      <c r="Z24" s="122"/>
      <c r="AA24" s="69" t="s">
        <v>89</v>
      </c>
      <c r="AB24" s="70">
        <f t="shared" si="10"/>
        <v>95015.782608695648</v>
      </c>
      <c r="AC24" s="70">
        <f t="shared" si="18"/>
        <v>184</v>
      </c>
      <c r="AD24" s="70">
        <f t="shared" si="18"/>
        <v>17482904</v>
      </c>
      <c r="AE24" s="70">
        <f t="shared" si="11"/>
        <v>106017.68518518518</v>
      </c>
      <c r="AF24" s="70">
        <v>108</v>
      </c>
      <c r="AG24" s="70">
        <v>11449910</v>
      </c>
      <c r="AH24" s="70">
        <f t="shared" si="12"/>
        <v>79381.5</v>
      </c>
      <c r="AI24" s="70">
        <v>76</v>
      </c>
      <c r="AJ24" s="71">
        <v>6032994</v>
      </c>
      <c r="AK24" s="172"/>
      <c r="AL24" s="122"/>
      <c r="AM24" s="69" t="s">
        <v>89</v>
      </c>
      <c r="AN24" s="70">
        <f t="shared" si="13"/>
        <v>1123136.3529411764</v>
      </c>
      <c r="AO24" s="70">
        <f t="shared" si="19"/>
        <v>17</v>
      </c>
      <c r="AP24" s="70">
        <f t="shared" si="19"/>
        <v>19093318</v>
      </c>
      <c r="AQ24" s="70">
        <f t="shared" si="14"/>
        <v>1193395.75</v>
      </c>
      <c r="AR24" s="70">
        <v>12</v>
      </c>
      <c r="AS24" s="70">
        <v>14320749</v>
      </c>
      <c r="AT24" s="70">
        <f t="shared" si="15"/>
        <v>954513.8</v>
      </c>
      <c r="AU24" s="70">
        <v>5</v>
      </c>
      <c r="AV24" s="71">
        <v>4772569</v>
      </c>
    </row>
    <row r="25" spans="1:48" ht="24" customHeight="1">
      <c r="A25" s="172"/>
      <c r="B25" s="122"/>
      <c r="C25" s="69" t="s">
        <v>90</v>
      </c>
      <c r="D25" s="70">
        <f t="shared" si="4"/>
        <v>1218474.387955182</v>
      </c>
      <c r="E25" s="70">
        <f t="shared" si="16"/>
        <v>1428</v>
      </c>
      <c r="F25" s="70">
        <f t="shared" si="16"/>
        <v>1739981426</v>
      </c>
      <c r="G25" s="70">
        <f t="shared" si="5"/>
        <v>1237700.685210312</v>
      </c>
      <c r="H25" s="70">
        <v>737</v>
      </c>
      <c r="I25" s="70">
        <v>912185405</v>
      </c>
      <c r="J25" s="70">
        <f t="shared" si="6"/>
        <v>1197968.1924746744</v>
      </c>
      <c r="K25" s="70">
        <v>691</v>
      </c>
      <c r="L25" s="71">
        <v>827796021</v>
      </c>
      <c r="M25" s="188"/>
      <c r="N25" s="189"/>
      <c r="O25" s="69" t="s">
        <v>90</v>
      </c>
      <c r="P25" s="70">
        <f t="shared" si="7"/>
        <v>14496.424205479949</v>
      </c>
      <c r="Q25" s="70">
        <v>3026.67</v>
      </c>
      <c r="R25" s="70">
        <f t="shared" si="17"/>
        <v>526510707</v>
      </c>
      <c r="S25" s="70">
        <f t="shared" si="8"/>
        <v>15293.381269406875</v>
      </c>
      <c r="T25" s="70">
        <v>1520.08</v>
      </c>
      <c r="U25" s="70">
        <v>278965956</v>
      </c>
      <c r="V25" s="70">
        <f t="shared" si="9"/>
        <v>13692.422075163617</v>
      </c>
      <c r="W25" s="70">
        <v>1506.58</v>
      </c>
      <c r="X25" s="71">
        <v>247544751</v>
      </c>
      <c r="Y25" s="172"/>
      <c r="Z25" s="122"/>
      <c r="AA25" s="69" t="s">
        <v>90</v>
      </c>
      <c r="AB25" s="70">
        <f t="shared" si="10"/>
        <v>107143.10441767068</v>
      </c>
      <c r="AC25" s="70">
        <f t="shared" si="18"/>
        <v>249</v>
      </c>
      <c r="AD25" s="70">
        <f t="shared" si="18"/>
        <v>26678633</v>
      </c>
      <c r="AE25" s="70">
        <f t="shared" si="11"/>
        <v>142352.35433070865</v>
      </c>
      <c r="AF25" s="70">
        <v>127</v>
      </c>
      <c r="AG25" s="70">
        <v>18078749</v>
      </c>
      <c r="AH25" s="70">
        <f t="shared" si="12"/>
        <v>70490.852459016387</v>
      </c>
      <c r="AI25" s="70">
        <v>122</v>
      </c>
      <c r="AJ25" s="71">
        <v>8599884</v>
      </c>
      <c r="AK25" s="172"/>
      <c r="AL25" s="122"/>
      <c r="AM25" s="69" t="s">
        <v>90</v>
      </c>
      <c r="AN25" s="70">
        <f t="shared" si="13"/>
        <v>1087269.0625</v>
      </c>
      <c r="AO25" s="70">
        <f t="shared" si="19"/>
        <v>16</v>
      </c>
      <c r="AP25" s="70">
        <f t="shared" si="19"/>
        <v>17396305</v>
      </c>
      <c r="AQ25" s="70">
        <f t="shared" si="14"/>
        <v>1169612.8461538462</v>
      </c>
      <c r="AR25" s="70">
        <v>13</v>
      </c>
      <c r="AS25" s="70">
        <v>15204967</v>
      </c>
      <c r="AT25" s="70">
        <f t="shared" si="15"/>
        <v>730446</v>
      </c>
      <c r="AU25" s="70">
        <v>3</v>
      </c>
      <c r="AV25" s="71">
        <v>2191338</v>
      </c>
    </row>
    <row r="26" spans="1:48" ht="24" customHeight="1">
      <c r="A26" s="172"/>
      <c r="B26" s="122"/>
      <c r="C26" s="69" t="s">
        <v>91</v>
      </c>
      <c r="D26" s="70">
        <f t="shared" si="4"/>
        <v>1103697.762589928</v>
      </c>
      <c r="E26" s="70">
        <f t="shared" si="16"/>
        <v>973</v>
      </c>
      <c r="F26" s="70">
        <f t="shared" si="16"/>
        <v>1073897923</v>
      </c>
      <c r="G26" s="70">
        <f t="shared" si="5"/>
        <v>1149729.8884955752</v>
      </c>
      <c r="H26" s="70">
        <v>565</v>
      </c>
      <c r="I26" s="70">
        <v>649597387</v>
      </c>
      <c r="J26" s="70">
        <f t="shared" si="6"/>
        <v>1039952.2941176471</v>
      </c>
      <c r="K26" s="70">
        <v>408</v>
      </c>
      <c r="L26" s="71">
        <v>424300536</v>
      </c>
      <c r="M26" s="188"/>
      <c r="N26" s="189"/>
      <c r="O26" s="69" t="s">
        <v>91</v>
      </c>
      <c r="P26" s="70">
        <f t="shared" si="7"/>
        <v>13362.102885509485</v>
      </c>
      <c r="Q26" s="70">
        <v>2731.58</v>
      </c>
      <c r="R26" s="70">
        <f t="shared" si="17"/>
        <v>437995836</v>
      </c>
      <c r="S26" s="70">
        <f t="shared" si="8"/>
        <v>14062.785629132464</v>
      </c>
      <c r="T26" s="70">
        <v>1269.42</v>
      </c>
      <c r="U26" s="70">
        <v>214218976</v>
      </c>
      <c r="V26" s="70">
        <f t="shared" si="9"/>
        <v>12753.69599066228</v>
      </c>
      <c r="W26" s="70">
        <v>1462.17</v>
      </c>
      <c r="X26" s="71">
        <v>223776860</v>
      </c>
      <c r="Y26" s="172"/>
      <c r="Z26" s="122"/>
      <c r="AA26" s="69" t="s">
        <v>91</v>
      </c>
      <c r="AB26" s="70">
        <f t="shared" si="10"/>
        <v>82102.377777777772</v>
      </c>
      <c r="AC26" s="70">
        <f t="shared" si="18"/>
        <v>225</v>
      </c>
      <c r="AD26" s="70">
        <f t="shared" si="18"/>
        <v>18473035</v>
      </c>
      <c r="AE26" s="70">
        <f t="shared" si="11"/>
        <v>89815.236641221374</v>
      </c>
      <c r="AF26" s="70">
        <v>131</v>
      </c>
      <c r="AG26" s="70">
        <v>11765796</v>
      </c>
      <c r="AH26" s="70">
        <f t="shared" si="12"/>
        <v>71353.606382978716</v>
      </c>
      <c r="AI26" s="70">
        <v>94</v>
      </c>
      <c r="AJ26" s="71">
        <v>6707239</v>
      </c>
      <c r="AK26" s="172"/>
      <c r="AL26" s="122"/>
      <c r="AM26" s="69" t="s">
        <v>91</v>
      </c>
      <c r="AN26" s="70">
        <f t="shared" si="13"/>
        <v>838097.17647058819</v>
      </c>
      <c r="AO26" s="70">
        <f t="shared" si="19"/>
        <v>17</v>
      </c>
      <c r="AP26" s="70">
        <f t="shared" si="19"/>
        <v>14247652</v>
      </c>
      <c r="AQ26" s="70">
        <f t="shared" si="14"/>
        <v>817584.33333333337</v>
      </c>
      <c r="AR26" s="70">
        <v>9</v>
      </c>
      <c r="AS26" s="70">
        <v>7358259</v>
      </c>
      <c r="AT26" s="70">
        <f t="shared" si="15"/>
        <v>861174.125</v>
      </c>
      <c r="AU26" s="70">
        <v>8</v>
      </c>
      <c r="AV26" s="71">
        <v>6889393</v>
      </c>
    </row>
    <row r="27" spans="1:48" ht="24" customHeight="1">
      <c r="A27" s="172"/>
      <c r="B27" s="122"/>
      <c r="C27" s="69" t="s">
        <v>92</v>
      </c>
      <c r="D27" s="70">
        <f t="shared" si="4"/>
        <v>1189234.5272727273</v>
      </c>
      <c r="E27" s="70">
        <f t="shared" si="16"/>
        <v>55</v>
      </c>
      <c r="F27" s="70">
        <f t="shared" si="16"/>
        <v>65407899</v>
      </c>
      <c r="G27" s="70">
        <f t="shared" si="5"/>
        <v>1353621.625</v>
      </c>
      <c r="H27" s="70">
        <v>40</v>
      </c>
      <c r="I27" s="70">
        <v>54144865</v>
      </c>
      <c r="J27" s="70">
        <f t="shared" si="6"/>
        <v>750868.93333333335</v>
      </c>
      <c r="K27" s="70">
        <v>15</v>
      </c>
      <c r="L27" s="71">
        <v>11263034</v>
      </c>
      <c r="M27" s="188"/>
      <c r="N27" s="189"/>
      <c r="O27" s="69" t="s">
        <v>92</v>
      </c>
      <c r="P27" s="70">
        <f t="shared" si="7"/>
        <v>14913.53422526875</v>
      </c>
      <c r="Q27" s="70">
        <v>242.17</v>
      </c>
      <c r="R27" s="70">
        <f t="shared" si="17"/>
        <v>43339327</v>
      </c>
      <c r="S27" s="70">
        <f t="shared" si="8"/>
        <v>17430.613620071683</v>
      </c>
      <c r="T27" s="70">
        <v>116.25</v>
      </c>
      <c r="U27" s="70">
        <v>24315706</v>
      </c>
      <c r="V27" s="70">
        <f t="shared" si="9"/>
        <v>12589.753414866582</v>
      </c>
      <c r="W27" s="70">
        <v>125.92</v>
      </c>
      <c r="X27" s="71">
        <v>19023621</v>
      </c>
      <c r="Y27" s="172"/>
      <c r="Z27" s="122"/>
      <c r="AA27" s="69" t="s">
        <v>92</v>
      </c>
      <c r="AB27" s="70">
        <f t="shared" si="10"/>
        <v>97086.428571428565</v>
      </c>
      <c r="AC27" s="70">
        <f t="shared" si="18"/>
        <v>7</v>
      </c>
      <c r="AD27" s="70">
        <f t="shared" si="18"/>
        <v>679605</v>
      </c>
      <c r="AE27" s="70">
        <f t="shared" si="11"/>
        <v>97086.428571428565</v>
      </c>
      <c r="AF27" s="70">
        <v>7</v>
      </c>
      <c r="AG27" s="70">
        <v>679605</v>
      </c>
      <c r="AH27" s="70">
        <v>0</v>
      </c>
      <c r="AI27" s="70">
        <v>0</v>
      </c>
      <c r="AJ27" s="71">
        <v>0</v>
      </c>
      <c r="AK27" s="172"/>
      <c r="AL27" s="122"/>
      <c r="AM27" s="69" t="s">
        <v>92</v>
      </c>
      <c r="AN27" s="70">
        <f t="shared" si="13"/>
        <v>1262261</v>
      </c>
      <c r="AO27" s="70">
        <f t="shared" si="19"/>
        <v>1</v>
      </c>
      <c r="AP27" s="70">
        <f t="shared" si="19"/>
        <v>1262261</v>
      </c>
      <c r="AQ27" s="70">
        <f t="shared" si="14"/>
        <v>1262261</v>
      </c>
      <c r="AR27" s="70">
        <v>1</v>
      </c>
      <c r="AS27" s="70">
        <v>1262261</v>
      </c>
      <c r="AT27" s="70">
        <v>0</v>
      </c>
      <c r="AU27" s="70">
        <v>0</v>
      </c>
      <c r="AV27" s="71">
        <v>0</v>
      </c>
    </row>
    <row r="28" spans="1:48" ht="24" customHeight="1">
      <c r="A28" s="173"/>
      <c r="B28" s="123"/>
      <c r="C28" s="69" t="s">
        <v>93</v>
      </c>
      <c r="D28" s="70">
        <f t="shared" si="4"/>
        <v>688623</v>
      </c>
      <c r="E28" s="70">
        <f t="shared" si="16"/>
        <v>9</v>
      </c>
      <c r="F28" s="70">
        <f t="shared" si="16"/>
        <v>6197607</v>
      </c>
      <c r="G28" s="70">
        <f t="shared" si="5"/>
        <v>568352.66666666663</v>
      </c>
      <c r="H28" s="70">
        <v>3</v>
      </c>
      <c r="I28" s="70">
        <v>1705058</v>
      </c>
      <c r="J28" s="70">
        <f t="shared" si="6"/>
        <v>748758.16666666663</v>
      </c>
      <c r="K28" s="70">
        <v>6</v>
      </c>
      <c r="L28" s="71">
        <v>4492549</v>
      </c>
      <c r="M28" s="188"/>
      <c r="N28" s="189"/>
      <c r="O28" s="69" t="s">
        <v>93</v>
      </c>
      <c r="P28" s="70">
        <f t="shared" si="7"/>
        <v>12125.586400921971</v>
      </c>
      <c r="Q28" s="70">
        <v>49.17</v>
      </c>
      <c r="R28" s="70">
        <f t="shared" si="17"/>
        <v>7154581</v>
      </c>
      <c r="S28" s="70">
        <f t="shared" si="8"/>
        <v>13315.862944162436</v>
      </c>
      <c r="T28" s="70">
        <v>27.58</v>
      </c>
      <c r="U28" s="70">
        <v>4407018</v>
      </c>
      <c r="V28" s="70">
        <f t="shared" si="9"/>
        <v>10609.989959839359</v>
      </c>
      <c r="W28" s="70">
        <v>21.58</v>
      </c>
      <c r="X28" s="71">
        <v>2747563</v>
      </c>
      <c r="Y28" s="173"/>
      <c r="Z28" s="123"/>
      <c r="AA28" s="69" t="s">
        <v>93</v>
      </c>
      <c r="AB28" s="70">
        <f t="shared" si="10"/>
        <v>487090</v>
      </c>
      <c r="AC28" s="70">
        <f t="shared" si="18"/>
        <v>1</v>
      </c>
      <c r="AD28" s="70">
        <f t="shared" si="18"/>
        <v>487090</v>
      </c>
      <c r="AE28" s="70">
        <f t="shared" si="11"/>
        <v>487090</v>
      </c>
      <c r="AF28" s="70">
        <v>1</v>
      </c>
      <c r="AG28" s="70">
        <v>487090</v>
      </c>
      <c r="AH28" s="70">
        <v>0</v>
      </c>
      <c r="AI28" s="70">
        <v>0</v>
      </c>
      <c r="AJ28" s="71">
        <v>0</v>
      </c>
      <c r="AK28" s="173"/>
      <c r="AL28" s="123"/>
      <c r="AM28" s="69" t="s">
        <v>93</v>
      </c>
      <c r="AN28" s="70">
        <f t="shared" si="13"/>
        <v>531584</v>
      </c>
      <c r="AO28" s="70">
        <f t="shared" si="19"/>
        <v>1</v>
      </c>
      <c r="AP28" s="70">
        <f t="shared" si="19"/>
        <v>531584</v>
      </c>
      <c r="AQ28" s="70">
        <v>0</v>
      </c>
      <c r="AR28" s="70">
        <v>0</v>
      </c>
      <c r="AS28" s="70">
        <v>0</v>
      </c>
      <c r="AT28" s="70">
        <f t="shared" si="15"/>
        <v>531584</v>
      </c>
      <c r="AU28" s="70">
        <v>1</v>
      </c>
      <c r="AV28" s="71">
        <v>531584</v>
      </c>
    </row>
    <row r="29" spans="1:48" ht="28.9" customHeight="1">
      <c r="A29" s="166" t="s">
        <v>145</v>
      </c>
      <c r="B29" s="128" t="s">
        <v>63</v>
      </c>
      <c r="C29" s="63" t="s">
        <v>76</v>
      </c>
      <c r="D29" s="64">
        <f t="shared" si="4"/>
        <v>1134197.6113005653</v>
      </c>
      <c r="E29" s="64">
        <f>SUM(E30:E38)</f>
        <v>65979</v>
      </c>
      <c r="F29" s="64">
        <f>SUM(F30:F38)</f>
        <v>74833224196</v>
      </c>
      <c r="G29" s="64">
        <f t="shared" si="5"/>
        <v>1164709.8757067139</v>
      </c>
      <c r="H29" s="64">
        <f>SUM(H30:H38)</f>
        <v>33960</v>
      </c>
      <c r="I29" s="64">
        <f>SUM(I30:I38)</f>
        <v>39553547379</v>
      </c>
      <c r="J29" s="64">
        <f t="shared" si="6"/>
        <v>1101835.6855929291</v>
      </c>
      <c r="K29" s="64">
        <f>SUM(K30:K38)</f>
        <v>32019</v>
      </c>
      <c r="L29" s="65">
        <f>SUM(L30:L38)</f>
        <v>35279676817</v>
      </c>
      <c r="M29" s="166" t="s">
        <v>146</v>
      </c>
      <c r="N29" s="128" t="s">
        <v>63</v>
      </c>
      <c r="O29" s="63" t="s">
        <v>76</v>
      </c>
      <c r="P29" s="64">
        <f>R29/Q29/12</f>
        <v>13821.243320421592</v>
      </c>
      <c r="Q29" s="64">
        <v>156229.92000000001</v>
      </c>
      <c r="R29" s="64">
        <f>SUM(R30:R38)</f>
        <v>25911500859</v>
      </c>
      <c r="S29" s="64">
        <f>U29/T29/12</f>
        <v>14898.521317842778</v>
      </c>
      <c r="T29" s="64">
        <v>78566.58</v>
      </c>
      <c r="U29" s="64">
        <f>SUM(U30:U38)</f>
        <v>14046310404</v>
      </c>
      <c r="V29" s="64">
        <f>X29/W29/12</f>
        <v>12731.438006199322</v>
      </c>
      <c r="W29" s="64">
        <v>77663.33</v>
      </c>
      <c r="X29" s="65">
        <f>SUM(X30:X38)</f>
        <v>11865190455</v>
      </c>
      <c r="Y29" s="166" t="s">
        <v>150</v>
      </c>
      <c r="Z29" s="128" t="s">
        <v>63</v>
      </c>
      <c r="AA29" s="63" t="s">
        <v>76</v>
      </c>
      <c r="AB29" s="64">
        <f t="shared" si="10"/>
        <v>94732.73730184407</v>
      </c>
      <c r="AC29" s="64">
        <f>SUM(AC30:AC38)</f>
        <v>18546</v>
      </c>
      <c r="AD29" s="64">
        <f>SUM(AD30:AD38)</f>
        <v>1756913346</v>
      </c>
      <c r="AE29" s="64">
        <f t="shared" si="11"/>
        <v>113655.65813905509</v>
      </c>
      <c r="AF29" s="64">
        <f>SUM(AF30:AF38)</f>
        <v>9694</v>
      </c>
      <c r="AG29" s="64">
        <f>SUM(AG30:AG38)</f>
        <v>1101777950</v>
      </c>
      <c r="AH29" s="64">
        <f t="shared" si="12"/>
        <v>74009.873023045642</v>
      </c>
      <c r="AI29" s="64">
        <f>SUM(AI30:AI38)</f>
        <v>8852</v>
      </c>
      <c r="AJ29" s="65">
        <f>SUM(AJ30:AJ38)</f>
        <v>655135396</v>
      </c>
      <c r="AK29" s="166" t="s">
        <v>152</v>
      </c>
      <c r="AL29" s="128" t="s">
        <v>63</v>
      </c>
      <c r="AM29" s="63" t="s">
        <v>76</v>
      </c>
      <c r="AN29" s="64">
        <f t="shared" si="13"/>
        <v>851949.04449938191</v>
      </c>
      <c r="AO29" s="64">
        <f>SUM(AO30:AO38)</f>
        <v>809</v>
      </c>
      <c r="AP29" s="64">
        <f>SUM(AP30:AP38)</f>
        <v>689226777</v>
      </c>
      <c r="AQ29" s="64">
        <f t="shared" si="14"/>
        <v>949884.6737864078</v>
      </c>
      <c r="AR29" s="64">
        <f>SUM(AR30:AR38)</f>
        <v>515</v>
      </c>
      <c r="AS29" s="64">
        <f>SUM(AS30:AS38)</f>
        <v>489190607</v>
      </c>
      <c r="AT29" s="64">
        <f t="shared" si="15"/>
        <v>680395.13605442178</v>
      </c>
      <c r="AU29" s="64">
        <f>SUM(AU30:AU38)</f>
        <v>294</v>
      </c>
      <c r="AV29" s="65">
        <f>SUM(AV30:AV38)</f>
        <v>200036170</v>
      </c>
    </row>
    <row r="30" spans="1:48" ht="28.9" customHeight="1">
      <c r="A30" s="167"/>
      <c r="B30" s="129"/>
      <c r="C30" s="76" t="s">
        <v>137</v>
      </c>
      <c r="D30" s="70">
        <v>0</v>
      </c>
      <c r="E30" s="70">
        <f t="shared" ref="E30:F38" si="20">H30+K30</f>
        <v>0</v>
      </c>
      <c r="F30" s="70">
        <f t="shared" si="20"/>
        <v>0</v>
      </c>
      <c r="G30" s="70">
        <v>0</v>
      </c>
      <c r="H30" s="70">
        <v>0</v>
      </c>
      <c r="I30" s="70">
        <v>0</v>
      </c>
      <c r="J30" s="70">
        <v>0</v>
      </c>
      <c r="K30" s="70">
        <v>0</v>
      </c>
      <c r="L30" s="71">
        <v>0</v>
      </c>
      <c r="M30" s="167"/>
      <c r="N30" s="128"/>
      <c r="O30" s="76" t="s">
        <v>137</v>
      </c>
      <c r="P30" s="70">
        <v>0</v>
      </c>
      <c r="Q30" s="70">
        <v>0</v>
      </c>
      <c r="R30" s="70">
        <f t="shared" ref="R30:R38" si="21">U30+X30</f>
        <v>0</v>
      </c>
      <c r="S30" s="70">
        <v>0</v>
      </c>
      <c r="T30" s="70">
        <v>0</v>
      </c>
      <c r="U30" s="70">
        <v>0</v>
      </c>
      <c r="V30" s="70">
        <v>0</v>
      </c>
      <c r="W30" s="70">
        <v>0</v>
      </c>
      <c r="X30" s="71">
        <v>0</v>
      </c>
      <c r="Y30" s="167"/>
      <c r="Z30" s="129"/>
      <c r="AA30" s="76" t="s">
        <v>137</v>
      </c>
      <c r="AB30" s="70">
        <v>0</v>
      </c>
      <c r="AC30" s="70">
        <f t="shared" ref="AC30:AD38" si="22">AF30+AI30</f>
        <v>0</v>
      </c>
      <c r="AD30" s="70">
        <f t="shared" si="22"/>
        <v>0</v>
      </c>
      <c r="AE30" s="70">
        <v>0</v>
      </c>
      <c r="AF30" s="70">
        <v>0</v>
      </c>
      <c r="AG30" s="70">
        <v>0</v>
      </c>
      <c r="AH30" s="70">
        <v>0</v>
      </c>
      <c r="AI30" s="70">
        <v>0</v>
      </c>
      <c r="AJ30" s="71">
        <v>0</v>
      </c>
      <c r="AK30" s="167"/>
      <c r="AL30" s="129"/>
      <c r="AM30" s="76" t="s">
        <v>137</v>
      </c>
      <c r="AN30" s="70">
        <v>0</v>
      </c>
      <c r="AO30" s="70">
        <f t="shared" ref="AO30:AP38" si="23">AR30+AU30</f>
        <v>0</v>
      </c>
      <c r="AP30" s="70">
        <f t="shared" si="23"/>
        <v>0</v>
      </c>
      <c r="AQ30" s="70">
        <v>0</v>
      </c>
      <c r="AR30" s="70">
        <v>0</v>
      </c>
      <c r="AS30" s="70">
        <v>0</v>
      </c>
      <c r="AT30" s="70">
        <v>0</v>
      </c>
      <c r="AU30" s="70">
        <v>0</v>
      </c>
      <c r="AV30" s="71">
        <v>0</v>
      </c>
    </row>
    <row r="31" spans="1:48" ht="28.9" customHeight="1">
      <c r="A31" s="167"/>
      <c r="B31" s="129"/>
      <c r="C31" s="69" t="s">
        <v>112</v>
      </c>
      <c r="D31" s="70">
        <f t="shared" si="4"/>
        <v>1142931</v>
      </c>
      <c r="E31" s="70">
        <f t="shared" si="20"/>
        <v>10</v>
      </c>
      <c r="F31" s="70">
        <f t="shared" si="20"/>
        <v>11429310</v>
      </c>
      <c r="G31" s="70">
        <f t="shared" si="5"/>
        <v>1330661.6666666667</v>
      </c>
      <c r="H31" s="70">
        <v>3</v>
      </c>
      <c r="I31" s="70">
        <v>3991985</v>
      </c>
      <c r="J31" s="70">
        <f t="shared" si="6"/>
        <v>1062475</v>
      </c>
      <c r="K31" s="70">
        <v>7</v>
      </c>
      <c r="L31" s="71">
        <v>7437325</v>
      </c>
      <c r="M31" s="167"/>
      <c r="N31" s="128"/>
      <c r="O31" s="69" t="s">
        <v>112</v>
      </c>
      <c r="P31" s="70">
        <v>0</v>
      </c>
      <c r="Q31" s="70">
        <v>0</v>
      </c>
      <c r="R31" s="70">
        <f t="shared" si="21"/>
        <v>0</v>
      </c>
      <c r="S31" s="70">
        <v>0</v>
      </c>
      <c r="T31" s="70">
        <v>0</v>
      </c>
      <c r="U31" s="70">
        <v>0</v>
      </c>
      <c r="V31" s="70">
        <v>0</v>
      </c>
      <c r="W31" s="70">
        <v>0</v>
      </c>
      <c r="X31" s="71">
        <v>0</v>
      </c>
      <c r="Y31" s="167"/>
      <c r="Z31" s="129"/>
      <c r="AA31" s="69" t="s">
        <v>112</v>
      </c>
      <c r="AB31" s="70">
        <v>0</v>
      </c>
      <c r="AC31" s="70">
        <f t="shared" si="22"/>
        <v>0</v>
      </c>
      <c r="AD31" s="70">
        <f t="shared" si="22"/>
        <v>0</v>
      </c>
      <c r="AE31" s="70">
        <v>0</v>
      </c>
      <c r="AF31" s="70">
        <v>0</v>
      </c>
      <c r="AG31" s="70">
        <v>0</v>
      </c>
      <c r="AH31" s="70">
        <v>0</v>
      </c>
      <c r="AI31" s="70">
        <v>0</v>
      </c>
      <c r="AJ31" s="71">
        <v>0</v>
      </c>
      <c r="AK31" s="167"/>
      <c r="AL31" s="129"/>
      <c r="AM31" s="69" t="s">
        <v>112</v>
      </c>
      <c r="AN31" s="70">
        <v>0</v>
      </c>
      <c r="AO31" s="70">
        <f t="shared" si="23"/>
        <v>0</v>
      </c>
      <c r="AP31" s="70">
        <f t="shared" si="23"/>
        <v>0</v>
      </c>
      <c r="AQ31" s="70">
        <v>0</v>
      </c>
      <c r="AR31" s="70">
        <v>0</v>
      </c>
      <c r="AS31" s="70">
        <v>0</v>
      </c>
      <c r="AT31" s="70">
        <v>0</v>
      </c>
      <c r="AU31" s="70">
        <v>0</v>
      </c>
      <c r="AV31" s="71">
        <v>0</v>
      </c>
    </row>
    <row r="32" spans="1:48" ht="28.9" customHeight="1">
      <c r="A32" s="167"/>
      <c r="B32" s="129"/>
      <c r="C32" s="69" t="s">
        <v>113</v>
      </c>
      <c r="D32" s="70">
        <f t="shared" si="4"/>
        <v>1218739.7443946188</v>
      </c>
      <c r="E32" s="70">
        <f t="shared" si="20"/>
        <v>669</v>
      </c>
      <c r="F32" s="70">
        <f t="shared" si="20"/>
        <v>815336889</v>
      </c>
      <c r="G32" s="70">
        <f t="shared" si="5"/>
        <v>1169498.2046511627</v>
      </c>
      <c r="H32" s="70">
        <v>215</v>
      </c>
      <c r="I32" s="70">
        <v>251442114</v>
      </c>
      <c r="J32" s="70">
        <f t="shared" si="6"/>
        <v>1242058.9757709252</v>
      </c>
      <c r="K32" s="70">
        <v>454</v>
      </c>
      <c r="L32" s="71">
        <v>563894775</v>
      </c>
      <c r="M32" s="167"/>
      <c r="N32" s="128"/>
      <c r="O32" s="69" t="s">
        <v>113</v>
      </c>
      <c r="P32" s="70">
        <v>0</v>
      </c>
      <c r="Q32" s="70">
        <v>0</v>
      </c>
      <c r="R32" s="70">
        <f t="shared" si="21"/>
        <v>0</v>
      </c>
      <c r="S32" s="70">
        <v>0</v>
      </c>
      <c r="T32" s="70">
        <v>0</v>
      </c>
      <c r="U32" s="70">
        <v>0</v>
      </c>
      <c r="V32" s="70">
        <v>0</v>
      </c>
      <c r="W32" s="70">
        <v>0</v>
      </c>
      <c r="X32" s="71">
        <v>0</v>
      </c>
      <c r="Y32" s="167"/>
      <c r="Z32" s="129"/>
      <c r="AA32" s="69" t="s">
        <v>113</v>
      </c>
      <c r="AB32" s="70">
        <v>0</v>
      </c>
      <c r="AC32" s="70">
        <f t="shared" si="22"/>
        <v>0</v>
      </c>
      <c r="AD32" s="70">
        <f t="shared" si="22"/>
        <v>0</v>
      </c>
      <c r="AE32" s="70">
        <v>0</v>
      </c>
      <c r="AF32" s="70">
        <v>0</v>
      </c>
      <c r="AG32" s="70">
        <v>0</v>
      </c>
      <c r="AH32" s="70">
        <v>0</v>
      </c>
      <c r="AI32" s="70">
        <v>0</v>
      </c>
      <c r="AJ32" s="71">
        <v>0</v>
      </c>
      <c r="AK32" s="167"/>
      <c r="AL32" s="129"/>
      <c r="AM32" s="69" t="s">
        <v>113</v>
      </c>
      <c r="AN32" s="70">
        <v>0</v>
      </c>
      <c r="AO32" s="70">
        <f t="shared" si="23"/>
        <v>0</v>
      </c>
      <c r="AP32" s="70">
        <f t="shared" si="23"/>
        <v>0</v>
      </c>
      <c r="AQ32" s="70">
        <v>0</v>
      </c>
      <c r="AR32" s="70">
        <v>0</v>
      </c>
      <c r="AS32" s="70">
        <v>0</v>
      </c>
      <c r="AT32" s="70">
        <v>0</v>
      </c>
      <c r="AU32" s="70">
        <v>0</v>
      </c>
      <c r="AV32" s="71">
        <v>0</v>
      </c>
    </row>
    <row r="33" spans="1:48" ht="28.9" customHeight="1">
      <c r="A33" s="167"/>
      <c r="B33" s="129"/>
      <c r="C33" s="69" t="s">
        <v>114</v>
      </c>
      <c r="D33" s="70">
        <f t="shared" si="4"/>
        <v>1396836.5782837127</v>
      </c>
      <c r="E33" s="70">
        <f t="shared" si="20"/>
        <v>2855</v>
      </c>
      <c r="F33" s="70">
        <f t="shared" si="20"/>
        <v>3987968431</v>
      </c>
      <c r="G33" s="70">
        <f t="shared" si="5"/>
        <v>1405939.5079941861</v>
      </c>
      <c r="H33" s="70">
        <v>1376</v>
      </c>
      <c r="I33" s="70">
        <v>1934572763</v>
      </c>
      <c r="J33" s="70">
        <f t="shared" si="6"/>
        <v>1388367.5916159567</v>
      </c>
      <c r="K33" s="70">
        <v>1479</v>
      </c>
      <c r="L33" s="71">
        <v>2053395668</v>
      </c>
      <c r="M33" s="167"/>
      <c r="N33" s="128"/>
      <c r="O33" s="69" t="s">
        <v>114</v>
      </c>
      <c r="P33" s="70">
        <v>0</v>
      </c>
      <c r="Q33" s="70">
        <v>0</v>
      </c>
      <c r="R33" s="70">
        <f t="shared" si="21"/>
        <v>0</v>
      </c>
      <c r="S33" s="70">
        <v>0</v>
      </c>
      <c r="T33" s="70">
        <v>0</v>
      </c>
      <c r="U33" s="70">
        <v>0</v>
      </c>
      <c r="V33" s="70">
        <v>0</v>
      </c>
      <c r="W33" s="70">
        <v>0</v>
      </c>
      <c r="X33" s="71">
        <v>0</v>
      </c>
      <c r="Y33" s="167"/>
      <c r="Z33" s="129"/>
      <c r="AA33" s="69" t="s">
        <v>114</v>
      </c>
      <c r="AB33" s="70">
        <v>0</v>
      </c>
      <c r="AC33" s="70">
        <f t="shared" si="22"/>
        <v>0</v>
      </c>
      <c r="AD33" s="70">
        <f t="shared" si="22"/>
        <v>0</v>
      </c>
      <c r="AE33" s="70">
        <v>0</v>
      </c>
      <c r="AF33" s="70">
        <v>0</v>
      </c>
      <c r="AG33" s="70">
        <v>0</v>
      </c>
      <c r="AH33" s="70">
        <v>0</v>
      </c>
      <c r="AI33" s="70">
        <v>0</v>
      </c>
      <c r="AJ33" s="71">
        <v>0</v>
      </c>
      <c r="AK33" s="167"/>
      <c r="AL33" s="129"/>
      <c r="AM33" s="69" t="s">
        <v>114</v>
      </c>
      <c r="AN33" s="70">
        <v>0</v>
      </c>
      <c r="AO33" s="70">
        <f t="shared" si="23"/>
        <v>0</v>
      </c>
      <c r="AP33" s="70">
        <f t="shared" si="23"/>
        <v>0</v>
      </c>
      <c r="AQ33" s="70">
        <v>0</v>
      </c>
      <c r="AR33" s="70">
        <v>0</v>
      </c>
      <c r="AS33" s="70">
        <v>0</v>
      </c>
      <c r="AT33" s="70">
        <v>0</v>
      </c>
      <c r="AU33" s="70">
        <v>0</v>
      </c>
      <c r="AV33" s="71">
        <v>0</v>
      </c>
    </row>
    <row r="34" spans="1:48" ht="28.9" customHeight="1">
      <c r="A34" s="167"/>
      <c r="B34" s="129"/>
      <c r="C34" s="69" t="s">
        <v>115</v>
      </c>
      <c r="D34" s="70">
        <f t="shared" si="4"/>
        <v>1339679.5895079456</v>
      </c>
      <c r="E34" s="70">
        <f t="shared" si="20"/>
        <v>26115</v>
      </c>
      <c r="F34" s="70">
        <f t="shared" si="20"/>
        <v>34985732480</v>
      </c>
      <c r="G34" s="70">
        <f t="shared" si="5"/>
        <v>1370547.9049429658</v>
      </c>
      <c r="H34" s="70">
        <v>12361</v>
      </c>
      <c r="I34" s="70">
        <v>16941342653</v>
      </c>
      <c r="J34" s="70">
        <f t="shared" si="6"/>
        <v>1311937.6055692888</v>
      </c>
      <c r="K34" s="70">
        <v>13754</v>
      </c>
      <c r="L34" s="71">
        <v>18044389827</v>
      </c>
      <c r="M34" s="167"/>
      <c r="N34" s="128"/>
      <c r="O34" s="69" t="s">
        <v>115</v>
      </c>
      <c r="P34" s="70">
        <v>0</v>
      </c>
      <c r="Q34" s="70">
        <v>0</v>
      </c>
      <c r="R34" s="70">
        <f t="shared" si="21"/>
        <v>0</v>
      </c>
      <c r="S34" s="70">
        <v>0</v>
      </c>
      <c r="T34" s="70">
        <v>0</v>
      </c>
      <c r="U34" s="70">
        <v>0</v>
      </c>
      <c r="V34" s="70">
        <v>0</v>
      </c>
      <c r="W34" s="70">
        <v>0</v>
      </c>
      <c r="X34" s="71">
        <v>0</v>
      </c>
      <c r="Y34" s="167"/>
      <c r="Z34" s="129"/>
      <c r="AA34" s="69" t="s">
        <v>115</v>
      </c>
      <c r="AB34" s="70">
        <v>0</v>
      </c>
      <c r="AC34" s="70">
        <f t="shared" si="22"/>
        <v>0</v>
      </c>
      <c r="AD34" s="70">
        <f t="shared" si="22"/>
        <v>0</v>
      </c>
      <c r="AE34" s="70">
        <v>0</v>
      </c>
      <c r="AF34" s="70">
        <v>0</v>
      </c>
      <c r="AG34" s="70">
        <v>0</v>
      </c>
      <c r="AH34" s="70">
        <v>0</v>
      </c>
      <c r="AI34" s="70">
        <v>0</v>
      </c>
      <c r="AJ34" s="71">
        <v>0</v>
      </c>
      <c r="AK34" s="167"/>
      <c r="AL34" s="129"/>
      <c r="AM34" s="69" t="s">
        <v>115</v>
      </c>
      <c r="AN34" s="70">
        <v>0</v>
      </c>
      <c r="AO34" s="70">
        <f t="shared" si="23"/>
        <v>0</v>
      </c>
      <c r="AP34" s="70">
        <f t="shared" si="23"/>
        <v>0</v>
      </c>
      <c r="AQ34" s="70">
        <v>0</v>
      </c>
      <c r="AR34" s="70">
        <v>0</v>
      </c>
      <c r="AS34" s="70">
        <v>0</v>
      </c>
      <c r="AT34" s="70">
        <v>0</v>
      </c>
      <c r="AU34" s="70">
        <v>0</v>
      </c>
      <c r="AV34" s="71">
        <v>0</v>
      </c>
    </row>
    <row r="35" spans="1:48" ht="28.9" customHeight="1">
      <c r="A35" s="167"/>
      <c r="B35" s="129"/>
      <c r="C35" s="69" t="s">
        <v>116</v>
      </c>
      <c r="D35" s="70">
        <f t="shared" si="4"/>
        <v>992463.09079818754</v>
      </c>
      <c r="E35" s="70">
        <f t="shared" si="20"/>
        <v>22952</v>
      </c>
      <c r="F35" s="70">
        <f t="shared" si="20"/>
        <v>22779012860</v>
      </c>
      <c r="G35" s="70">
        <f t="shared" si="5"/>
        <v>1081364.0623894923</v>
      </c>
      <c r="H35" s="70">
        <v>11877</v>
      </c>
      <c r="I35" s="70">
        <v>12843360969</v>
      </c>
      <c r="J35" s="70">
        <f t="shared" si="6"/>
        <v>897124.32424379233</v>
      </c>
      <c r="K35" s="70">
        <v>11075</v>
      </c>
      <c r="L35" s="71">
        <v>9935651891</v>
      </c>
      <c r="M35" s="167"/>
      <c r="N35" s="128"/>
      <c r="O35" s="69" t="s">
        <v>116</v>
      </c>
      <c r="P35" s="70">
        <f t="shared" ref="P35:P38" si="24">R35/Q35/12</f>
        <v>12772.545062156483</v>
      </c>
      <c r="Q35" s="70">
        <v>34116.58</v>
      </c>
      <c r="R35" s="70">
        <f t="shared" si="21"/>
        <v>5229066665</v>
      </c>
      <c r="S35" s="70">
        <f t="shared" ref="S35:S38" si="25">U35/T35/12</f>
        <v>13835.707951701521</v>
      </c>
      <c r="T35" s="70">
        <v>18144.669999999998</v>
      </c>
      <c r="U35" s="70">
        <v>3012532260</v>
      </c>
      <c r="V35" s="70">
        <f t="shared" ref="V35:V38" si="26">X35/W35/12</f>
        <v>11564.746155544648</v>
      </c>
      <c r="W35" s="70">
        <v>15971.92</v>
      </c>
      <c r="X35" s="71">
        <v>2216534405</v>
      </c>
      <c r="Y35" s="167"/>
      <c r="Z35" s="129"/>
      <c r="AA35" s="69" t="s">
        <v>116</v>
      </c>
      <c r="AB35" s="70">
        <v>0</v>
      </c>
      <c r="AC35" s="70">
        <f t="shared" si="22"/>
        <v>0</v>
      </c>
      <c r="AD35" s="70">
        <f t="shared" si="22"/>
        <v>0</v>
      </c>
      <c r="AE35" s="70">
        <v>0</v>
      </c>
      <c r="AF35" s="70">
        <v>0</v>
      </c>
      <c r="AG35" s="70">
        <v>0</v>
      </c>
      <c r="AH35" s="70">
        <v>0</v>
      </c>
      <c r="AI35" s="70">
        <v>0</v>
      </c>
      <c r="AJ35" s="71">
        <v>0</v>
      </c>
      <c r="AK35" s="167"/>
      <c r="AL35" s="129"/>
      <c r="AM35" s="69" t="s">
        <v>116</v>
      </c>
      <c r="AN35" s="70">
        <f t="shared" si="13"/>
        <v>1194365.7101449275</v>
      </c>
      <c r="AO35" s="70">
        <f t="shared" si="23"/>
        <v>138</v>
      </c>
      <c r="AP35" s="70">
        <f t="shared" si="23"/>
        <v>164822468</v>
      </c>
      <c r="AQ35" s="70">
        <f t="shared" si="14"/>
        <v>1215411.2935779816</v>
      </c>
      <c r="AR35" s="70">
        <v>109</v>
      </c>
      <c r="AS35" s="70">
        <v>132479831</v>
      </c>
      <c r="AT35" s="70">
        <f t="shared" si="15"/>
        <v>1115263.3448275863</v>
      </c>
      <c r="AU35" s="70">
        <v>29</v>
      </c>
      <c r="AV35" s="71">
        <v>32342637</v>
      </c>
    </row>
    <row r="36" spans="1:48" ht="28.9" customHeight="1">
      <c r="A36" s="167"/>
      <c r="B36" s="129"/>
      <c r="C36" s="69" t="s">
        <v>117</v>
      </c>
      <c r="D36" s="70">
        <f t="shared" si="4"/>
        <v>945188.02233199542</v>
      </c>
      <c r="E36" s="70">
        <f t="shared" si="20"/>
        <v>9717</v>
      </c>
      <c r="F36" s="70">
        <f t="shared" si="20"/>
        <v>9184392013</v>
      </c>
      <c r="G36" s="70">
        <f t="shared" si="5"/>
        <v>965283.14581579389</v>
      </c>
      <c r="H36" s="70">
        <v>5939</v>
      </c>
      <c r="I36" s="70">
        <v>5732816603</v>
      </c>
      <c r="J36" s="70">
        <f t="shared" si="6"/>
        <v>913598.57331921649</v>
      </c>
      <c r="K36" s="70">
        <v>3778</v>
      </c>
      <c r="L36" s="71">
        <v>3451575410</v>
      </c>
      <c r="M36" s="167"/>
      <c r="N36" s="128"/>
      <c r="O36" s="69" t="s">
        <v>117</v>
      </c>
      <c r="P36" s="70">
        <f t="shared" si="24"/>
        <v>15113.703975457414</v>
      </c>
      <c r="Q36" s="70">
        <v>60805.33</v>
      </c>
      <c r="R36" s="70">
        <f t="shared" si="21"/>
        <v>11027925093</v>
      </c>
      <c r="S36" s="70">
        <f t="shared" si="25"/>
        <v>16357.894801319451</v>
      </c>
      <c r="T36" s="70">
        <v>31086.67</v>
      </c>
      <c r="U36" s="70">
        <v>6102149731</v>
      </c>
      <c r="V36" s="70">
        <f t="shared" si="26"/>
        <v>13812.235882920288</v>
      </c>
      <c r="W36" s="70">
        <v>29718.67</v>
      </c>
      <c r="X36" s="71">
        <v>4925775362</v>
      </c>
      <c r="Y36" s="167"/>
      <c r="Z36" s="129"/>
      <c r="AA36" s="69" t="s">
        <v>117</v>
      </c>
      <c r="AB36" s="70">
        <f t="shared" si="10"/>
        <v>112002.56808278867</v>
      </c>
      <c r="AC36" s="70">
        <f t="shared" si="22"/>
        <v>12852</v>
      </c>
      <c r="AD36" s="70">
        <f t="shared" si="22"/>
        <v>1439457005</v>
      </c>
      <c r="AE36" s="70">
        <f t="shared" si="11"/>
        <v>136450.58805698698</v>
      </c>
      <c r="AF36" s="70">
        <v>6598</v>
      </c>
      <c r="AG36" s="70">
        <v>900300980</v>
      </c>
      <c r="AH36" s="70">
        <f t="shared" si="12"/>
        <v>86209.789734569873</v>
      </c>
      <c r="AI36" s="70">
        <v>6254</v>
      </c>
      <c r="AJ36" s="71">
        <v>539156025</v>
      </c>
      <c r="AK36" s="167"/>
      <c r="AL36" s="129"/>
      <c r="AM36" s="69" t="s">
        <v>117</v>
      </c>
      <c r="AN36" s="70">
        <f t="shared" si="13"/>
        <v>1059157.4728682172</v>
      </c>
      <c r="AO36" s="70">
        <f t="shared" si="23"/>
        <v>258</v>
      </c>
      <c r="AP36" s="70">
        <f t="shared" si="23"/>
        <v>273262628</v>
      </c>
      <c r="AQ36" s="70">
        <f t="shared" si="14"/>
        <v>1109943.4655172413</v>
      </c>
      <c r="AR36" s="70">
        <v>174</v>
      </c>
      <c r="AS36" s="70">
        <v>193130163</v>
      </c>
      <c r="AT36" s="70">
        <f t="shared" si="15"/>
        <v>953957.91666666663</v>
      </c>
      <c r="AU36" s="70">
        <v>84</v>
      </c>
      <c r="AV36" s="71">
        <v>80132465</v>
      </c>
    </row>
    <row r="37" spans="1:48" ht="28.9" customHeight="1">
      <c r="A37" s="168"/>
      <c r="B37" s="130"/>
      <c r="C37" s="69" t="s">
        <v>118</v>
      </c>
      <c r="D37" s="70">
        <f t="shared" si="4"/>
        <v>867526.97145432688</v>
      </c>
      <c r="E37" s="70">
        <f t="shared" si="20"/>
        <v>3328</v>
      </c>
      <c r="F37" s="70">
        <f t="shared" si="20"/>
        <v>2887129761</v>
      </c>
      <c r="G37" s="70">
        <f t="shared" si="5"/>
        <v>866011.58796992479</v>
      </c>
      <c r="H37" s="70">
        <v>1995</v>
      </c>
      <c r="I37" s="70">
        <v>1727693118</v>
      </c>
      <c r="J37" s="70">
        <f t="shared" si="6"/>
        <v>869794.93098274572</v>
      </c>
      <c r="K37" s="70">
        <v>1333</v>
      </c>
      <c r="L37" s="71">
        <v>1159436643</v>
      </c>
      <c r="M37" s="167"/>
      <c r="N37" s="128"/>
      <c r="O37" s="69" t="s">
        <v>118</v>
      </c>
      <c r="P37" s="70">
        <f t="shared" si="24"/>
        <v>14189.921844691553</v>
      </c>
      <c r="Q37" s="70">
        <v>45873.83</v>
      </c>
      <c r="R37" s="70">
        <f t="shared" si="21"/>
        <v>7811352749</v>
      </c>
      <c r="S37" s="70">
        <f t="shared" si="25"/>
        <v>15320.882565527756</v>
      </c>
      <c r="T37" s="70">
        <v>21924.17</v>
      </c>
      <c r="U37" s="70">
        <v>4030771607</v>
      </c>
      <c r="V37" s="70">
        <f t="shared" si="26"/>
        <v>13154.60415529734</v>
      </c>
      <c r="W37" s="70">
        <v>23949.67</v>
      </c>
      <c r="X37" s="71">
        <v>3780581142</v>
      </c>
      <c r="Y37" s="168"/>
      <c r="Z37" s="130"/>
      <c r="AA37" s="69" t="s">
        <v>118</v>
      </c>
      <c r="AB37" s="70">
        <f t="shared" si="10"/>
        <v>68613.274715398438</v>
      </c>
      <c r="AC37" s="70">
        <f t="shared" si="22"/>
        <v>3338</v>
      </c>
      <c r="AD37" s="70">
        <f t="shared" si="22"/>
        <v>229031111</v>
      </c>
      <c r="AE37" s="70">
        <f t="shared" si="11"/>
        <v>79454.801724137928</v>
      </c>
      <c r="AF37" s="70">
        <v>1856</v>
      </c>
      <c r="AG37" s="70">
        <v>147468112</v>
      </c>
      <c r="AH37" s="70">
        <f t="shared" si="12"/>
        <v>55035.761808367075</v>
      </c>
      <c r="AI37" s="70">
        <v>1482</v>
      </c>
      <c r="AJ37" s="71">
        <v>81562999</v>
      </c>
      <c r="AK37" s="168"/>
      <c r="AL37" s="130"/>
      <c r="AM37" s="69" t="s">
        <v>118</v>
      </c>
      <c r="AN37" s="70">
        <f t="shared" si="13"/>
        <v>770845.32246376807</v>
      </c>
      <c r="AO37" s="70">
        <f t="shared" si="23"/>
        <v>276</v>
      </c>
      <c r="AP37" s="70">
        <f t="shared" si="23"/>
        <v>212753309</v>
      </c>
      <c r="AQ37" s="70">
        <f t="shared" si="14"/>
        <v>844318.50595238095</v>
      </c>
      <c r="AR37" s="70">
        <v>168</v>
      </c>
      <c r="AS37" s="70">
        <v>141845509</v>
      </c>
      <c r="AT37" s="70">
        <f t="shared" si="15"/>
        <v>656553.70370370371</v>
      </c>
      <c r="AU37" s="70">
        <v>108</v>
      </c>
      <c r="AV37" s="71">
        <v>70907800</v>
      </c>
    </row>
    <row r="38" spans="1:48" ht="28.9" customHeight="1" thickBot="1">
      <c r="A38" s="169"/>
      <c r="B38" s="131"/>
      <c r="C38" s="73" t="s">
        <v>100</v>
      </c>
      <c r="D38" s="74">
        <f t="shared" si="4"/>
        <v>547214.57057057053</v>
      </c>
      <c r="E38" s="74">
        <f t="shared" si="20"/>
        <v>333</v>
      </c>
      <c r="F38" s="74">
        <f t="shared" si="20"/>
        <v>182222452</v>
      </c>
      <c r="G38" s="74">
        <f t="shared" si="5"/>
        <v>609933.88659793814</v>
      </c>
      <c r="H38" s="74">
        <v>194</v>
      </c>
      <c r="I38" s="74">
        <v>118327174</v>
      </c>
      <c r="J38" s="74">
        <f t="shared" si="6"/>
        <v>459678.25899280573</v>
      </c>
      <c r="K38" s="74">
        <v>139</v>
      </c>
      <c r="L38" s="75">
        <v>63895278</v>
      </c>
      <c r="M38" s="169"/>
      <c r="N38" s="187"/>
      <c r="O38" s="73" t="s">
        <v>94</v>
      </c>
      <c r="P38" s="74">
        <f t="shared" si="24"/>
        <v>9951.7150701215141</v>
      </c>
      <c r="Q38" s="74">
        <v>15434.16</v>
      </c>
      <c r="R38" s="74">
        <f t="shared" si="21"/>
        <v>1843156352</v>
      </c>
      <c r="S38" s="74">
        <f t="shared" si="25"/>
        <v>10129.616803488831</v>
      </c>
      <c r="T38" s="74">
        <v>7411.08</v>
      </c>
      <c r="U38" s="74">
        <v>900856806</v>
      </c>
      <c r="V38" s="74">
        <f t="shared" si="26"/>
        <v>9787.3714699282518</v>
      </c>
      <c r="W38" s="74">
        <v>8023.09</v>
      </c>
      <c r="X38" s="75">
        <v>942299546</v>
      </c>
      <c r="Y38" s="169"/>
      <c r="Z38" s="131"/>
      <c r="AA38" s="73" t="s">
        <v>100</v>
      </c>
      <c r="AB38" s="74">
        <f t="shared" si="10"/>
        <v>37531.931239388796</v>
      </c>
      <c r="AC38" s="74">
        <f t="shared" si="22"/>
        <v>2356</v>
      </c>
      <c r="AD38" s="74">
        <f t="shared" si="22"/>
        <v>88425230</v>
      </c>
      <c r="AE38" s="74">
        <f t="shared" si="11"/>
        <v>43555.530645161292</v>
      </c>
      <c r="AF38" s="74">
        <v>1240</v>
      </c>
      <c r="AG38" s="74">
        <v>54008858</v>
      </c>
      <c r="AH38" s="74">
        <f t="shared" si="12"/>
        <v>30839.043010752688</v>
      </c>
      <c r="AI38" s="74">
        <v>1116</v>
      </c>
      <c r="AJ38" s="75">
        <v>34416372</v>
      </c>
      <c r="AK38" s="169"/>
      <c r="AL38" s="131"/>
      <c r="AM38" s="73" t="s">
        <v>94</v>
      </c>
      <c r="AN38" s="74">
        <f t="shared" si="13"/>
        <v>280207.09489051095</v>
      </c>
      <c r="AO38" s="74">
        <f t="shared" si="23"/>
        <v>137</v>
      </c>
      <c r="AP38" s="74">
        <f t="shared" si="23"/>
        <v>38388372</v>
      </c>
      <c r="AQ38" s="74">
        <f t="shared" si="14"/>
        <v>339611</v>
      </c>
      <c r="AR38" s="74">
        <v>64</v>
      </c>
      <c r="AS38" s="74">
        <v>21735104</v>
      </c>
      <c r="AT38" s="74">
        <f t="shared" si="15"/>
        <v>228126.95890410958</v>
      </c>
      <c r="AU38" s="74">
        <v>73</v>
      </c>
      <c r="AV38" s="75">
        <v>16653268</v>
      </c>
    </row>
    <row r="39" spans="1:48" s="77" customFormat="1" ht="183" customHeight="1">
      <c r="A39" s="132" t="s">
        <v>141</v>
      </c>
      <c r="B39" s="132"/>
      <c r="C39" s="132"/>
      <c r="D39" s="132"/>
      <c r="E39" s="132"/>
      <c r="F39" s="132"/>
      <c r="G39" s="132"/>
      <c r="H39" s="132"/>
      <c r="I39" s="132"/>
      <c r="J39" s="132"/>
      <c r="K39" s="132"/>
      <c r="L39" s="132"/>
      <c r="M39" s="132" t="s">
        <v>165</v>
      </c>
      <c r="N39" s="132"/>
      <c r="O39" s="132"/>
      <c r="P39" s="132"/>
      <c r="Q39" s="132"/>
      <c r="R39" s="132"/>
      <c r="S39" s="132"/>
      <c r="T39" s="132"/>
      <c r="U39" s="132"/>
      <c r="V39" s="132"/>
      <c r="W39" s="132"/>
      <c r="X39" s="132"/>
      <c r="Y39" s="132" t="s">
        <v>143</v>
      </c>
      <c r="Z39" s="132"/>
      <c r="AA39" s="132"/>
      <c r="AB39" s="132"/>
      <c r="AC39" s="132"/>
      <c r="AD39" s="132"/>
      <c r="AE39" s="132"/>
      <c r="AF39" s="132"/>
      <c r="AG39" s="132"/>
      <c r="AH39" s="132"/>
      <c r="AI39" s="132"/>
      <c r="AJ39" s="132"/>
      <c r="AK39" s="132" t="s">
        <v>142</v>
      </c>
      <c r="AL39" s="132"/>
      <c r="AM39" s="132"/>
      <c r="AN39" s="132"/>
      <c r="AO39" s="132"/>
      <c r="AP39" s="132"/>
      <c r="AQ39" s="132"/>
      <c r="AR39" s="132"/>
      <c r="AS39" s="132"/>
      <c r="AT39" s="132"/>
      <c r="AU39" s="132"/>
      <c r="AV39" s="132"/>
    </row>
  </sheetData>
  <mergeCells count="48">
    <mergeCell ref="AN3:AV3"/>
    <mergeCell ref="M3:M5"/>
    <mergeCell ref="N3:O5"/>
    <mergeCell ref="A1:L1"/>
    <mergeCell ref="Y1:AJ1"/>
    <mergeCell ref="AK1:AV1"/>
    <mergeCell ref="M1:X1"/>
    <mergeCell ref="A3:A5"/>
    <mergeCell ref="B3:C5"/>
    <mergeCell ref="D3:L3"/>
    <mergeCell ref="Y3:Y5"/>
    <mergeCell ref="Z3:AA5"/>
    <mergeCell ref="AB3:AJ3"/>
    <mergeCell ref="P3:X3"/>
    <mergeCell ref="AN4:AP4"/>
    <mergeCell ref="V4:X4"/>
    <mergeCell ref="AQ4:AS4"/>
    <mergeCell ref="AT4:AV4"/>
    <mergeCell ref="P4:R4"/>
    <mergeCell ref="A6:A28"/>
    <mergeCell ref="B6:B28"/>
    <mergeCell ref="Y6:Y28"/>
    <mergeCell ref="Z6:Z28"/>
    <mergeCell ref="AK6:AK28"/>
    <mergeCell ref="AL6:AL28"/>
    <mergeCell ref="M6:M28"/>
    <mergeCell ref="N6:N28"/>
    <mergeCell ref="D4:F4"/>
    <mergeCell ref="G4:I4"/>
    <mergeCell ref="J4:L4"/>
    <mergeCell ref="AB4:AD4"/>
    <mergeCell ref="AE4:AG4"/>
    <mergeCell ref="AH4:AJ4"/>
    <mergeCell ref="AL3:AM5"/>
    <mergeCell ref="S4:U4"/>
    <mergeCell ref="AK3:AK5"/>
    <mergeCell ref="M29:M38"/>
    <mergeCell ref="N29:N38"/>
    <mergeCell ref="A39:L39"/>
    <mergeCell ref="Y39:AJ39"/>
    <mergeCell ref="AK39:AV39"/>
    <mergeCell ref="M39:X39"/>
    <mergeCell ref="A29:A38"/>
    <mergeCell ref="B29:B38"/>
    <mergeCell ref="Y29:Y38"/>
    <mergeCell ref="Z29:Z38"/>
    <mergeCell ref="AK29:AK38"/>
    <mergeCell ref="AL29:AL38"/>
  </mergeCells>
  <phoneticPr fontId="14" type="noConversion"/>
  <printOptions horizontalCentered="1"/>
  <pageMargins left="0.15748031496062992" right="0.15748031496062992" top="0.59055118110236227" bottom="0.59055118110236227" header="0.51181102362204722" footer="0.31496062992125984"/>
  <pageSetup paperSize="9" orientation="portrait" r:id="rId1"/>
  <headerFooter alignWithMargins="0"/>
  <rowBreaks count="1" manualBreakCount="1">
    <brk id="28" max="16383" man="1"/>
  </rowBreaks>
  <colBreaks count="3" manualBreakCount="3">
    <brk id="24" max="1048575" man="1"/>
    <brk id="36" max="1048575" man="1"/>
    <brk id="12" max="1048575" man="1"/>
  </col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CA43"/>
  <sheetViews>
    <sheetView view="pageBreakPreview" zoomScale="80" zoomScaleNormal="90" zoomScaleSheetLayoutView="80" workbookViewId="0">
      <selection activeCell="A2" sqref="A2"/>
    </sheetView>
  </sheetViews>
  <sheetFormatPr defaultColWidth="9" defaultRowHeight="15.75"/>
  <cols>
    <col min="1" max="1" width="6.75" style="20" customWidth="1"/>
    <col min="2" max="2" width="4.625" style="20" customWidth="1"/>
    <col min="3" max="3" width="10.625" style="18" customWidth="1"/>
    <col min="4" max="11" width="9.5" style="19" customWidth="1"/>
    <col min="12" max="14" width="10.875" style="19" customWidth="1"/>
    <col min="15" max="15" width="11.375" style="2" bestFit="1" customWidth="1"/>
    <col min="16" max="16" width="11.125" style="18" customWidth="1"/>
    <col min="17" max="17" width="10.875" style="18" customWidth="1"/>
    <col min="18" max="18" width="9.75" style="1" customWidth="1"/>
    <col min="19" max="19" width="17.625" style="1" customWidth="1"/>
    <col min="20" max="20" width="9.75" style="1" customWidth="1"/>
    <col min="21" max="21" width="17.625" style="1" customWidth="1"/>
    <col min="22" max="22" width="9.75" style="1" customWidth="1"/>
    <col min="23" max="23" width="17.625" style="1" customWidth="1"/>
    <col min="24" max="24" width="10.875" style="18" customWidth="1"/>
    <col min="25" max="25" width="9.75" style="1" customWidth="1"/>
    <col min="26" max="26" width="17.625" style="1" customWidth="1"/>
    <col min="27" max="27" width="9.75" style="1" customWidth="1"/>
    <col min="28" max="28" width="17.625" style="1" customWidth="1"/>
    <col min="29" max="29" width="9.75" style="1" customWidth="1"/>
    <col min="30" max="30" width="17.625" style="1" customWidth="1"/>
    <col min="31" max="31" width="10.875" style="18" customWidth="1"/>
    <col min="32" max="32" width="9.75" style="1" customWidth="1"/>
    <col min="33" max="33" width="17.625" style="1" customWidth="1"/>
    <col min="34" max="34" width="9.75" style="1" customWidth="1"/>
    <col min="35" max="35" width="17.625" style="1" customWidth="1"/>
    <col min="36" max="36" width="9.75" style="1" customWidth="1"/>
    <col min="37" max="37" width="17.625" style="1" customWidth="1"/>
    <col min="38" max="38" width="10.875" style="18" customWidth="1"/>
    <col min="39" max="39" width="9.75" style="1" customWidth="1"/>
    <col min="40" max="40" width="17.625" style="1" customWidth="1"/>
    <col min="41" max="41" width="8.625" style="1" customWidth="1"/>
    <col min="42" max="42" width="16.625" style="1" customWidth="1"/>
    <col min="43" max="43" width="8.625" style="1" customWidth="1"/>
    <col min="44" max="44" width="16.625" style="1" customWidth="1"/>
    <col min="45" max="45" width="10.875" style="1" customWidth="1"/>
    <col min="46" max="46" width="11.125" style="18" customWidth="1"/>
    <col min="47" max="47" width="9.625" style="1" customWidth="1"/>
    <col min="48" max="48" width="17.625" style="1" customWidth="1"/>
    <col min="49" max="49" width="9.625" style="1" customWidth="1"/>
    <col min="50" max="50" width="17.625" style="1" customWidth="1"/>
    <col min="51" max="51" width="9.625" style="1" customWidth="1"/>
    <col min="52" max="52" width="17.625" style="1" customWidth="1"/>
    <col min="53" max="53" width="9.625" style="1" customWidth="1"/>
    <col min="54" max="54" width="17.625" style="1" customWidth="1"/>
    <col min="55" max="55" width="9.625" style="1" customWidth="1"/>
    <col min="56" max="56" width="17.625" style="1" customWidth="1"/>
    <col min="57" max="57" width="9.625" style="1" customWidth="1"/>
    <col min="58" max="58" width="17.625" style="1" customWidth="1"/>
    <col min="59" max="59" width="9.625" style="1" customWidth="1"/>
    <col min="60" max="60" width="17.625" style="1" customWidth="1"/>
    <col min="61" max="61" width="9.625" style="1" customWidth="1"/>
    <col min="62" max="62" width="17.625" style="1" customWidth="1"/>
    <col min="63" max="63" width="9.625" style="1" customWidth="1"/>
    <col min="64" max="64" width="17.625" style="1" customWidth="1"/>
    <col min="65" max="65" width="9.625" style="1" customWidth="1"/>
    <col min="66" max="66" width="17.625" style="1" customWidth="1"/>
    <col min="67" max="67" width="9.625" style="1" customWidth="1"/>
    <col min="68" max="68" width="17.625" style="1" customWidth="1"/>
    <col min="69" max="69" width="9.625" style="1" customWidth="1"/>
    <col min="70" max="70" width="17.625" style="1" customWidth="1"/>
    <col min="71" max="71" width="11.125" style="18" customWidth="1"/>
    <col min="72" max="79" width="16.625" style="1" customWidth="1"/>
    <col min="80" max="16384" width="9" style="19"/>
  </cols>
  <sheetData>
    <row r="1" spans="1:79" ht="24" customHeight="1">
      <c r="A1" s="174" t="s">
        <v>153</v>
      </c>
      <c r="B1" s="196"/>
      <c r="C1" s="196"/>
      <c r="D1" s="196"/>
      <c r="E1" s="196"/>
      <c r="F1" s="196"/>
      <c r="G1" s="196"/>
      <c r="H1" s="196"/>
      <c r="I1" s="196"/>
      <c r="J1" s="175"/>
      <c r="K1" s="175"/>
      <c r="Q1" s="11" t="s">
        <v>6</v>
      </c>
      <c r="R1" s="12"/>
      <c r="S1" s="12"/>
      <c r="T1" s="12"/>
      <c r="U1" s="12"/>
      <c r="V1" s="12"/>
      <c r="W1" s="12"/>
      <c r="X1" s="12"/>
      <c r="Y1" s="12"/>
      <c r="Z1" s="12"/>
      <c r="AA1" s="12"/>
      <c r="AB1" s="12"/>
      <c r="AC1" s="12"/>
      <c r="AD1" s="12"/>
      <c r="AE1" s="12"/>
      <c r="AF1" s="12"/>
      <c r="AG1" s="12"/>
      <c r="AH1" s="12"/>
      <c r="AI1" s="12"/>
      <c r="AJ1" s="12"/>
      <c r="AK1" s="12"/>
      <c r="AL1" s="12"/>
      <c r="AM1" s="12"/>
      <c r="AN1" s="12"/>
      <c r="AO1" s="12"/>
      <c r="AP1" s="12"/>
      <c r="AQ1" s="12"/>
      <c r="AR1" s="12"/>
      <c r="AS1" s="13"/>
      <c r="AU1" s="14" t="s">
        <v>7</v>
      </c>
      <c r="AV1" s="14"/>
      <c r="AW1" s="14"/>
      <c r="AX1" s="14"/>
      <c r="AY1" s="14"/>
      <c r="AZ1" s="14"/>
      <c r="BA1" s="14"/>
      <c r="BB1" s="14"/>
      <c r="BC1" s="14"/>
      <c r="BD1" s="14"/>
      <c r="BE1" s="14"/>
      <c r="BF1" s="14"/>
      <c r="BG1" s="14"/>
      <c r="BH1" s="14"/>
      <c r="BI1" s="14"/>
      <c r="BJ1" s="14"/>
      <c r="BK1" s="14"/>
      <c r="BL1" s="14"/>
      <c r="BM1" s="14"/>
      <c r="BN1" s="14"/>
      <c r="BO1" s="14"/>
      <c r="BP1" s="14"/>
      <c r="BQ1" s="14"/>
      <c r="BR1" s="14"/>
      <c r="BT1" s="15" t="s">
        <v>8</v>
      </c>
      <c r="BU1" s="15"/>
      <c r="BV1" s="15"/>
      <c r="BW1" s="15"/>
      <c r="BX1" s="15"/>
      <c r="BY1" s="15"/>
      <c r="BZ1" s="15"/>
      <c r="CA1" s="15"/>
    </row>
    <row r="2" spans="1:79" s="1" customFormat="1" ht="17.100000000000001" customHeight="1" thickBot="1">
      <c r="A2" s="35"/>
      <c r="B2" s="35"/>
      <c r="C2" s="35"/>
      <c r="D2" s="35"/>
      <c r="E2" s="35"/>
      <c r="F2" s="35"/>
      <c r="G2" s="35"/>
      <c r="H2" s="35"/>
      <c r="I2" s="35"/>
      <c r="J2" s="35"/>
      <c r="K2" s="35"/>
      <c r="O2" s="201" t="s">
        <v>9</v>
      </c>
      <c r="P2" s="193" t="s">
        <v>45</v>
      </c>
      <c r="Q2" s="190" t="s">
        <v>46</v>
      </c>
      <c r="R2" s="192"/>
      <c r="S2" s="192"/>
      <c r="T2" s="192"/>
      <c r="U2" s="192"/>
      <c r="V2" s="192"/>
      <c r="W2" s="191"/>
      <c r="X2" s="190" t="s">
        <v>47</v>
      </c>
      <c r="Y2" s="192"/>
      <c r="Z2" s="192"/>
      <c r="AA2" s="192"/>
      <c r="AB2" s="192"/>
      <c r="AC2" s="192"/>
      <c r="AD2" s="191"/>
      <c r="AE2" s="190" t="s">
        <v>48</v>
      </c>
      <c r="AF2" s="192"/>
      <c r="AG2" s="192"/>
      <c r="AH2" s="192"/>
      <c r="AI2" s="192"/>
      <c r="AJ2" s="192"/>
      <c r="AK2" s="191"/>
      <c r="AL2" s="190" t="s">
        <v>49</v>
      </c>
      <c r="AM2" s="192"/>
      <c r="AN2" s="192"/>
      <c r="AO2" s="192"/>
      <c r="AP2" s="192"/>
      <c r="AQ2" s="192"/>
      <c r="AR2" s="191"/>
      <c r="AS2" s="18"/>
      <c r="AT2" s="193" t="s">
        <v>50</v>
      </c>
      <c r="AU2" s="190" t="s">
        <v>46</v>
      </c>
      <c r="AV2" s="192"/>
      <c r="AW2" s="192"/>
      <c r="AX2" s="192"/>
      <c r="AY2" s="192"/>
      <c r="AZ2" s="191"/>
      <c r="BA2" s="190" t="s">
        <v>47</v>
      </c>
      <c r="BB2" s="192"/>
      <c r="BC2" s="192"/>
      <c r="BD2" s="192"/>
      <c r="BE2" s="192"/>
      <c r="BF2" s="191"/>
      <c r="BG2" s="190" t="s">
        <v>48</v>
      </c>
      <c r="BH2" s="192"/>
      <c r="BI2" s="192"/>
      <c r="BJ2" s="192"/>
      <c r="BK2" s="192"/>
      <c r="BL2" s="191"/>
      <c r="BM2" s="190" t="s">
        <v>49</v>
      </c>
      <c r="BN2" s="192"/>
      <c r="BO2" s="192"/>
      <c r="BP2" s="192"/>
      <c r="BQ2" s="192"/>
      <c r="BR2" s="191"/>
      <c r="BS2" s="193" t="s">
        <v>50</v>
      </c>
      <c r="BT2" s="190" t="s">
        <v>46</v>
      </c>
      <c r="BU2" s="191"/>
      <c r="BV2" s="190" t="s">
        <v>47</v>
      </c>
      <c r="BW2" s="191"/>
      <c r="BX2" s="190" t="s">
        <v>48</v>
      </c>
      <c r="BY2" s="191"/>
      <c r="BZ2" s="190" t="s">
        <v>49</v>
      </c>
      <c r="CA2" s="191"/>
    </row>
    <row r="3" spans="1:79" s="18" customFormat="1" ht="24.95" customHeight="1">
      <c r="A3" s="210" t="s">
        <v>51</v>
      </c>
      <c r="B3" s="197" t="s">
        <v>52</v>
      </c>
      <c r="C3" s="198"/>
      <c r="D3" s="203" t="s">
        <v>104</v>
      </c>
      <c r="E3" s="203"/>
      <c r="F3" s="204" t="s">
        <v>105</v>
      </c>
      <c r="G3" s="204"/>
      <c r="H3" s="203" t="s">
        <v>106</v>
      </c>
      <c r="I3" s="203"/>
      <c r="J3" s="204" t="s">
        <v>107</v>
      </c>
      <c r="K3" s="205"/>
      <c r="O3" s="194"/>
      <c r="P3" s="194"/>
      <c r="Q3" s="190" t="s">
        <v>12</v>
      </c>
      <c r="R3" s="192"/>
      <c r="S3" s="191"/>
      <c r="T3" s="190" t="s">
        <v>10</v>
      </c>
      <c r="U3" s="191"/>
      <c r="V3" s="190" t="s">
        <v>11</v>
      </c>
      <c r="W3" s="191"/>
      <c r="X3" s="190" t="s">
        <v>65</v>
      </c>
      <c r="Y3" s="192"/>
      <c r="Z3" s="191"/>
      <c r="AA3" s="190" t="s">
        <v>10</v>
      </c>
      <c r="AB3" s="191"/>
      <c r="AC3" s="190" t="s">
        <v>11</v>
      </c>
      <c r="AD3" s="191"/>
      <c r="AE3" s="190" t="s">
        <v>65</v>
      </c>
      <c r="AF3" s="192"/>
      <c r="AG3" s="191"/>
      <c r="AH3" s="190" t="s">
        <v>10</v>
      </c>
      <c r="AI3" s="191"/>
      <c r="AJ3" s="190" t="s">
        <v>11</v>
      </c>
      <c r="AK3" s="191"/>
      <c r="AL3" s="190" t="s">
        <v>65</v>
      </c>
      <c r="AM3" s="192"/>
      <c r="AN3" s="191"/>
      <c r="AO3" s="190" t="s">
        <v>10</v>
      </c>
      <c r="AP3" s="191"/>
      <c r="AQ3" s="190" t="s">
        <v>11</v>
      </c>
      <c r="AR3" s="191"/>
      <c r="AT3" s="194"/>
      <c r="AU3" s="190" t="s">
        <v>65</v>
      </c>
      <c r="AV3" s="191"/>
      <c r="AW3" s="190" t="s">
        <v>10</v>
      </c>
      <c r="AX3" s="191"/>
      <c r="AY3" s="190" t="s">
        <v>11</v>
      </c>
      <c r="AZ3" s="191"/>
      <c r="BA3" s="190" t="s">
        <v>65</v>
      </c>
      <c r="BB3" s="191"/>
      <c r="BC3" s="190" t="s">
        <v>10</v>
      </c>
      <c r="BD3" s="191"/>
      <c r="BE3" s="190" t="s">
        <v>11</v>
      </c>
      <c r="BF3" s="191"/>
      <c r="BG3" s="190" t="s">
        <v>65</v>
      </c>
      <c r="BH3" s="191"/>
      <c r="BI3" s="190" t="s">
        <v>10</v>
      </c>
      <c r="BJ3" s="191"/>
      <c r="BK3" s="190" t="s">
        <v>11</v>
      </c>
      <c r="BL3" s="191"/>
      <c r="BM3" s="190" t="s">
        <v>65</v>
      </c>
      <c r="BN3" s="191"/>
      <c r="BO3" s="190" t="s">
        <v>10</v>
      </c>
      <c r="BP3" s="191"/>
      <c r="BQ3" s="190" t="s">
        <v>11</v>
      </c>
      <c r="BR3" s="191"/>
      <c r="BS3" s="194"/>
      <c r="BT3" s="36" t="s">
        <v>66</v>
      </c>
      <c r="BU3" s="36" t="s">
        <v>67</v>
      </c>
      <c r="BV3" s="36" t="s">
        <v>66</v>
      </c>
      <c r="BW3" s="36" t="s">
        <v>67</v>
      </c>
      <c r="BX3" s="36" t="s">
        <v>66</v>
      </c>
      <c r="BY3" s="36" t="s">
        <v>67</v>
      </c>
      <c r="BZ3" s="36" t="s">
        <v>66</v>
      </c>
      <c r="CA3" s="36" t="s">
        <v>67</v>
      </c>
    </row>
    <row r="4" spans="1:79" s="21" customFormat="1" ht="24.95" customHeight="1">
      <c r="A4" s="211"/>
      <c r="B4" s="199"/>
      <c r="C4" s="200"/>
      <c r="D4" s="52" t="s">
        <v>10</v>
      </c>
      <c r="E4" s="52" t="s">
        <v>11</v>
      </c>
      <c r="F4" s="25" t="s">
        <v>10</v>
      </c>
      <c r="G4" s="25" t="s">
        <v>11</v>
      </c>
      <c r="H4" s="52" t="s">
        <v>10</v>
      </c>
      <c r="I4" s="52" t="s">
        <v>11</v>
      </c>
      <c r="J4" s="25" t="s">
        <v>10</v>
      </c>
      <c r="K4" s="30" t="s">
        <v>11</v>
      </c>
      <c r="O4" s="195"/>
      <c r="P4" s="195"/>
      <c r="Q4" s="3" t="s">
        <v>68</v>
      </c>
      <c r="R4" s="3" t="s">
        <v>69</v>
      </c>
      <c r="S4" s="36" t="s">
        <v>70</v>
      </c>
      <c r="T4" s="36" t="s">
        <v>69</v>
      </c>
      <c r="U4" s="36" t="s">
        <v>70</v>
      </c>
      <c r="V4" s="3" t="s">
        <v>69</v>
      </c>
      <c r="W4" s="36" t="s">
        <v>70</v>
      </c>
      <c r="X4" s="3" t="s">
        <v>68</v>
      </c>
      <c r="Y4" s="3" t="s">
        <v>69</v>
      </c>
      <c r="Z4" s="36" t="s">
        <v>70</v>
      </c>
      <c r="AA4" s="36" t="s">
        <v>69</v>
      </c>
      <c r="AB4" s="36" t="s">
        <v>70</v>
      </c>
      <c r="AC4" s="36" t="s">
        <v>69</v>
      </c>
      <c r="AD4" s="36" t="s">
        <v>70</v>
      </c>
      <c r="AE4" s="3" t="s">
        <v>68</v>
      </c>
      <c r="AF4" s="3" t="s">
        <v>69</v>
      </c>
      <c r="AG4" s="36" t="s">
        <v>70</v>
      </c>
      <c r="AH4" s="36" t="s">
        <v>69</v>
      </c>
      <c r="AI4" s="36" t="s">
        <v>70</v>
      </c>
      <c r="AJ4" s="36" t="s">
        <v>69</v>
      </c>
      <c r="AK4" s="36" t="s">
        <v>70</v>
      </c>
      <c r="AL4" s="3" t="s">
        <v>68</v>
      </c>
      <c r="AM4" s="3" t="s">
        <v>69</v>
      </c>
      <c r="AN4" s="36" t="s">
        <v>70</v>
      </c>
      <c r="AO4" s="36" t="s">
        <v>69</v>
      </c>
      <c r="AP4" s="36" t="s">
        <v>70</v>
      </c>
      <c r="AQ4" s="3" t="s">
        <v>69</v>
      </c>
      <c r="AR4" s="36" t="s">
        <v>70</v>
      </c>
      <c r="AS4" s="1"/>
      <c r="AT4" s="195"/>
      <c r="AU4" s="3" t="s">
        <v>69</v>
      </c>
      <c r="AV4" s="3" t="s">
        <v>71</v>
      </c>
      <c r="AW4" s="36" t="s">
        <v>69</v>
      </c>
      <c r="AX4" s="36" t="s">
        <v>71</v>
      </c>
      <c r="AY4" s="36" t="s">
        <v>69</v>
      </c>
      <c r="AZ4" s="36" t="s">
        <v>71</v>
      </c>
      <c r="BA4" s="3" t="s">
        <v>69</v>
      </c>
      <c r="BB4" s="3" t="s">
        <v>71</v>
      </c>
      <c r="BC4" s="36" t="s">
        <v>69</v>
      </c>
      <c r="BD4" s="36" t="s">
        <v>71</v>
      </c>
      <c r="BE4" s="36" t="s">
        <v>69</v>
      </c>
      <c r="BF4" s="36" t="s">
        <v>71</v>
      </c>
      <c r="BG4" s="3" t="s">
        <v>69</v>
      </c>
      <c r="BH4" s="3" t="s">
        <v>71</v>
      </c>
      <c r="BI4" s="36" t="s">
        <v>69</v>
      </c>
      <c r="BJ4" s="36" t="s">
        <v>71</v>
      </c>
      <c r="BK4" s="36" t="s">
        <v>69</v>
      </c>
      <c r="BL4" s="36" t="s">
        <v>71</v>
      </c>
      <c r="BM4" s="3" t="s">
        <v>69</v>
      </c>
      <c r="BN4" s="3" t="s">
        <v>71</v>
      </c>
      <c r="BO4" s="36" t="s">
        <v>69</v>
      </c>
      <c r="BP4" s="36" t="s">
        <v>71</v>
      </c>
      <c r="BQ4" s="36" t="s">
        <v>69</v>
      </c>
      <c r="BR4" s="36" t="s">
        <v>71</v>
      </c>
      <c r="BS4" s="195"/>
      <c r="BT4" s="36" t="s">
        <v>71</v>
      </c>
      <c r="BU4" s="36" t="s">
        <v>71</v>
      </c>
      <c r="BV4" s="36" t="s">
        <v>71</v>
      </c>
      <c r="BW4" s="36" t="s">
        <v>71</v>
      </c>
      <c r="BX4" s="36" t="s">
        <v>71</v>
      </c>
      <c r="BY4" s="36" t="s">
        <v>71</v>
      </c>
      <c r="BZ4" s="36" t="s">
        <v>71</v>
      </c>
      <c r="CA4" s="36" t="s">
        <v>71</v>
      </c>
    </row>
    <row r="5" spans="1:79" ht="24" customHeight="1">
      <c r="A5" s="206" t="s">
        <v>155</v>
      </c>
      <c r="B5" s="208" t="s">
        <v>72</v>
      </c>
      <c r="C5" s="16" t="s">
        <v>18</v>
      </c>
      <c r="D5" s="42">
        <f>U5/T5</f>
        <v>1132688.7959125745</v>
      </c>
      <c r="E5" s="42">
        <f>W5/V5</f>
        <v>1038630.5478998676</v>
      </c>
      <c r="F5" s="23">
        <f>AB5/AA5</f>
        <v>1086828.5610632026</v>
      </c>
      <c r="G5" s="23">
        <f>AD5/AC5</f>
        <v>972094.50072146603</v>
      </c>
      <c r="H5" s="42">
        <f>AI5/AH5</f>
        <v>1171201.9527318552</v>
      </c>
      <c r="I5" s="42">
        <f>AK5/AJ5</f>
        <v>996491.88639583241</v>
      </c>
      <c r="J5" s="23">
        <f>AP5/AO5</f>
        <v>1187026.7159394012</v>
      </c>
      <c r="K5" s="24">
        <f>AR5/AQ5</f>
        <v>943092.53413398843</v>
      </c>
      <c r="O5" s="213" t="s">
        <v>108</v>
      </c>
      <c r="P5" s="16" t="s">
        <v>18</v>
      </c>
      <c r="Q5" s="5">
        <f>S5/R5</f>
        <v>1087029.345514562</v>
      </c>
      <c r="R5" s="5">
        <f t="shared" ref="R5:W5" si="0">R6+R28+R29+R30</f>
        <v>68466</v>
      </c>
      <c r="S5" s="5">
        <f t="shared" si="0"/>
        <v>74424551170</v>
      </c>
      <c r="T5" s="5">
        <f t="shared" si="0"/>
        <v>35230</v>
      </c>
      <c r="U5" s="5">
        <f t="shared" si="0"/>
        <v>39904626280</v>
      </c>
      <c r="V5" s="5">
        <f t="shared" si="0"/>
        <v>33236</v>
      </c>
      <c r="W5" s="5">
        <f t="shared" si="0"/>
        <v>34519924890</v>
      </c>
      <c r="X5" s="5">
        <f>Z5/Y5</f>
        <v>1031795.4930730987</v>
      </c>
      <c r="Y5" s="5">
        <f t="shared" ref="Y5:AD5" si="1">Y6+Y28+Y29+Y30</f>
        <v>86691</v>
      </c>
      <c r="Z5" s="5">
        <f t="shared" si="1"/>
        <v>89447383090</v>
      </c>
      <c r="AA5" s="5">
        <f t="shared" si="1"/>
        <v>45109</v>
      </c>
      <c r="AB5" s="5">
        <f t="shared" si="1"/>
        <v>49025749561</v>
      </c>
      <c r="AC5" s="5">
        <f t="shared" si="1"/>
        <v>41582</v>
      </c>
      <c r="AD5" s="5">
        <f t="shared" si="1"/>
        <v>40421633529</v>
      </c>
      <c r="AE5" s="5">
        <f>AG5/AF5</f>
        <v>1080060.6968481278</v>
      </c>
      <c r="AF5" s="5">
        <f t="shared" ref="AF5:AK5" si="2">AF6+AF28+AF29+AF30</f>
        <v>293635</v>
      </c>
      <c r="AG5" s="5">
        <f t="shared" si="2"/>
        <v>317143622719</v>
      </c>
      <c r="AH5" s="5">
        <f t="shared" si="2"/>
        <v>140454</v>
      </c>
      <c r="AI5" s="5">
        <f t="shared" si="2"/>
        <v>164499999069</v>
      </c>
      <c r="AJ5" s="5">
        <f t="shared" si="2"/>
        <v>153181</v>
      </c>
      <c r="AK5" s="5">
        <f t="shared" si="2"/>
        <v>152643623650</v>
      </c>
      <c r="AL5" s="5">
        <f>AN5/AM5</f>
        <v>1073783.8871829528</v>
      </c>
      <c r="AM5" s="5">
        <f t="shared" ref="AM5:AR5" si="3">AM6+AM28+AM29+AM30</f>
        <v>142053</v>
      </c>
      <c r="AN5" s="5">
        <f t="shared" si="3"/>
        <v>152534222526</v>
      </c>
      <c r="AO5" s="5">
        <f t="shared" si="3"/>
        <v>76107</v>
      </c>
      <c r="AP5" s="5">
        <f t="shared" si="3"/>
        <v>90341042270</v>
      </c>
      <c r="AQ5" s="5">
        <f t="shared" si="3"/>
        <v>65946</v>
      </c>
      <c r="AR5" s="5">
        <f t="shared" si="3"/>
        <v>62193180256</v>
      </c>
      <c r="AT5" s="16" t="s">
        <v>18</v>
      </c>
      <c r="AU5" s="5">
        <f t="shared" ref="AU5:AZ5" si="4">AU6+AU28+AU29+AU30</f>
        <v>68466</v>
      </c>
      <c r="AV5" s="5">
        <f t="shared" si="4"/>
        <v>74424674320</v>
      </c>
      <c r="AW5" s="5">
        <f t="shared" si="4"/>
        <v>35230</v>
      </c>
      <c r="AX5" s="5">
        <f t="shared" si="4"/>
        <v>39904749430</v>
      </c>
      <c r="AY5" s="5">
        <f t="shared" si="4"/>
        <v>33236</v>
      </c>
      <c r="AZ5" s="5">
        <f t="shared" si="4"/>
        <v>34519924890</v>
      </c>
      <c r="BA5" s="5">
        <f t="shared" ref="BA5:BF5" si="5">BA6+BA28+BA29+BA30</f>
        <v>86691</v>
      </c>
      <c r="BB5" s="5">
        <f t="shared" si="5"/>
        <v>89447306290</v>
      </c>
      <c r="BC5" s="5">
        <f t="shared" si="5"/>
        <v>45109</v>
      </c>
      <c r="BD5" s="5">
        <f t="shared" si="5"/>
        <v>49025749561</v>
      </c>
      <c r="BE5" s="5">
        <f t="shared" si="5"/>
        <v>41582</v>
      </c>
      <c r="BF5" s="5">
        <f t="shared" si="5"/>
        <v>40421556729</v>
      </c>
      <c r="BG5" s="5">
        <f t="shared" ref="BG5:BL5" si="6">BG6+BG28+BG29+BG30</f>
        <v>293635</v>
      </c>
      <c r="BH5" s="5">
        <f t="shared" si="6"/>
        <v>317143713335</v>
      </c>
      <c r="BI5" s="5">
        <f t="shared" si="6"/>
        <v>140454</v>
      </c>
      <c r="BJ5" s="5">
        <f t="shared" si="6"/>
        <v>164500089685</v>
      </c>
      <c r="BK5" s="5">
        <f t="shared" si="6"/>
        <v>153181</v>
      </c>
      <c r="BL5" s="5">
        <f t="shared" si="6"/>
        <v>152643623650</v>
      </c>
      <c r="BM5" s="5">
        <f t="shared" ref="BM5:BR5" si="7">BM6+BM28+BM29+BM30</f>
        <v>142053</v>
      </c>
      <c r="BN5" s="5">
        <f t="shared" si="7"/>
        <v>152534198134</v>
      </c>
      <c r="BO5" s="5">
        <f t="shared" si="7"/>
        <v>76107</v>
      </c>
      <c r="BP5" s="5">
        <f t="shared" si="7"/>
        <v>90341042270</v>
      </c>
      <c r="BQ5" s="5">
        <f t="shared" si="7"/>
        <v>65946</v>
      </c>
      <c r="BR5" s="5">
        <f t="shared" si="7"/>
        <v>62193155864</v>
      </c>
      <c r="BS5" s="16" t="s">
        <v>18</v>
      </c>
      <c r="BT5" s="5">
        <f>BT6+BT28+BT29+BT30</f>
        <v>123150</v>
      </c>
      <c r="BU5" s="9">
        <f>BU6+BU28+BU29+BU30</f>
        <v>0</v>
      </c>
      <c r="BV5" s="5">
        <f t="shared" ref="BV5:CA5" si="8">BV6+BV28+BV29+BV30</f>
        <v>0</v>
      </c>
      <c r="BW5" s="9">
        <f t="shared" si="8"/>
        <v>-76800</v>
      </c>
      <c r="BX5" s="5">
        <f t="shared" si="8"/>
        <v>90616</v>
      </c>
      <c r="BY5" s="5">
        <f t="shared" si="8"/>
        <v>0</v>
      </c>
      <c r="BZ5" s="5">
        <f t="shared" si="8"/>
        <v>0</v>
      </c>
      <c r="CA5" s="7">
        <f t="shared" si="8"/>
        <v>-24392</v>
      </c>
    </row>
    <row r="6" spans="1:79" ht="24" customHeight="1">
      <c r="A6" s="206"/>
      <c r="B6" s="208"/>
      <c r="C6" s="16" t="s">
        <v>19</v>
      </c>
      <c r="D6" s="42">
        <f t="shared" ref="D6:D33" si="9">U6/T6</f>
        <v>1133094.4711965711</v>
      </c>
      <c r="E6" s="42">
        <f t="shared" ref="E6:E33" si="10">W6/V6</f>
        <v>1033471.5942914963</v>
      </c>
      <c r="F6" s="23">
        <f t="shared" ref="F6:F33" si="11">AB6/AA6</f>
        <v>1086094.8508356502</v>
      </c>
      <c r="G6" s="23">
        <f t="shared" ref="G6:G33" si="12">AD6/AC6</f>
        <v>959267.7913773834</v>
      </c>
      <c r="H6" s="42">
        <f t="shared" ref="H6:H41" si="13">AI6/AH6</f>
        <v>1167300.7338735494</v>
      </c>
      <c r="I6" s="42">
        <f t="shared" ref="I6:I41" si="14">AK6/AJ6</f>
        <v>988718.22024135781</v>
      </c>
      <c r="J6" s="23">
        <f t="shared" ref="J6:J41" si="15">AP6/AO6</f>
        <v>1181031.2117089026</v>
      </c>
      <c r="K6" s="24">
        <f t="shared" ref="K6:K41" si="16">AR6/AQ6</f>
        <v>923100.27881090448</v>
      </c>
      <c r="O6" s="214"/>
      <c r="P6" s="16" t="s">
        <v>19</v>
      </c>
      <c r="Q6" s="7">
        <f t="shared" ref="Q6:Q33" si="17">S6/R6</f>
        <v>1085018.0720651068</v>
      </c>
      <c r="R6" s="5">
        <f t="shared" ref="R6:W6" si="18">SUM(R7:R27)</f>
        <v>49150</v>
      </c>
      <c r="S6" s="5">
        <f t="shared" si="18"/>
        <v>53328638242</v>
      </c>
      <c r="T6" s="5">
        <f t="shared" si="18"/>
        <v>25431</v>
      </c>
      <c r="U6" s="5">
        <f t="shared" si="18"/>
        <v>28815725497</v>
      </c>
      <c r="V6" s="5">
        <f t="shared" si="18"/>
        <v>23719</v>
      </c>
      <c r="W6" s="5">
        <f t="shared" si="18"/>
        <v>24512912745</v>
      </c>
      <c r="X6" s="7">
        <f t="shared" ref="X6:X33" si="19">Z6/Y6</f>
        <v>1025942.8560941918</v>
      </c>
      <c r="Y6" s="5">
        <f t="shared" ref="Y6:AD6" si="20">SUM(Y7:Y27)</f>
        <v>62256</v>
      </c>
      <c r="Z6" s="5">
        <f t="shared" si="20"/>
        <v>63871098449</v>
      </c>
      <c r="AA6" s="5">
        <f t="shared" si="20"/>
        <v>32729</v>
      </c>
      <c r="AB6" s="5">
        <f t="shared" si="20"/>
        <v>35546798373</v>
      </c>
      <c r="AC6" s="5">
        <f t="shared" si="20"/>
        <v>29527</v>
      </c>
      <c r="AD6" s="5">
        <f t="shared" si="20"/>
        <v>28324300076</v>
      </c>
      <c r="AE6" s="7">
        <f t="shared" ref="AE6:AE41" si="21">AG6/AF6</f>
        <v>1074705.8024913175</v>
      </c>
      <c r="AF6" s="5">
        <f t="shared" ref="AF6:AK6" si="22">SUM(AF7:AF27)</f>
        <v>207601</v>
      </c>
      <c r="AG6" s="5">
        <f t="shared" si="22"/>
        <v>223109999303</v>
      </c>
      <c r="AH6" s="5">
        <f t="shared" si="22"/>
        <v>99960</v>
      </c>
      <c r="AI6" s="5">
        <f t="shared" si="22"/>
        <v>116683381358</v>
      </c>
      <c r="AJ6" s="5">
        <f t="shared" si="22"/>
        <v>107641</v>
      </c>
      <c r="AK6" s="5">
        <f t="shared" si="22"/>
        <v>106426617945</v>
      </c>
      <c r="AL6" s="7">
        <f t="shared" ref="AL6:AL33" si="23">AN6/AM6</f>
        <v>1062480.3328942263</v>
      </c>
      <c r="AM6" s="5">
        <f t="shared" ref="AM6:AR6" si="24">SUM(AM7:AM27)</f>
        <v>97926</v>
      </c>
      <c r="AN6" s="5">
        <f t="shared" si="24"/>
        <v>104044449079</v>
      </c>
      <c r="AO6" s="5">
        <f t="shared" si="24"/>
        <v>52917</v>
      </c>
      <c r="AP6" s="5">
        <f t="shared" si="24"/>
        <v>62496628630</v>
      </c>
      <c r="AQ6" s="5">
        <f t="shared" si="24"/>
        <v>45009</v>
      </c>
      <c r="AR6" s="5">
        <f t="shared" si="24"/>
        <v>41547820449</v>
      </c>
      <c r="AT6" s="16" t="s">
        <v>19</v>
      </c>
      <c r="AU6" s="5">
        <f t="shared" ref="AU6:AZ6" si="25">SUM(AU7:AU27)</f>
        <v>49150</v>
      </c>
      <c r="AV6" s="5">
        <f t="shared" si="25"/>
        <v>53328761392</v>
      </c>
      <c r="AW6" s="5">
        <f t="shared" si="25"/>
        <v>25431</v>
      </c>
      <c r="AX6" s="5">
        <f t="shared" si="25"/>
        <v>28815848647</v>
      </c>
      <c r="AY6" s="5">
        <f t="shared" si="25"/>
        <v>23719</v>
      </c>
      <c r="AZ6" s="5">
        <f t="shared" si="25"/>
        <v>24512912745</v>
      </c>
      <c r="BA6" s="5">
        <f t="shared" ref="BA6:BF6" si="26">SUM(BA7:BA27)</f>
        <v>62256</v>
      </c>
      <c r="BB6" s="5">
        <f t="shared" si="26"/>
        <v>63871098449</v>
      </c>
      <c r="BC6" s="5">
        <f t="shared" si="26"/>
        <v>32729</v>
      </c>
      <c r="BD6" s="5">
        <f t="shared" si="26"/>
        <v>35546798373</v>
      </c>
      <c r="BE6" s="5">
        <f t="shared" si="26"/>
        <v>29527</v>
      </c>
      <c r="BF6" s="5">
        <f t="shared" si="26"/>
        <v>28324300076</v>
      </c>
      <c r="BG6" s="5">
        <f t="shared" ref="BG6:BL6" si="27">SUM(BG7:BG27)</f>
        <v>207601</v>
      </c>
      <c r="BH6" s="5">
        <f t="shared" si="27"/>
        <v>223110034053</v>
      </c>
      <c r="BI6" s="5">
        <f t="shared" si="27"/>
        <v>99960</v>
      </c>
      <c r="BJ6" s="5">
        <f t="shared" si="27"/>
        <v>116683416108</v>
      </c>
      <c r="BK6" s="5">
        <f t="shared" si="27"/>
        <v>107641</v>
      </c>
      <c r="BL6" s="5">
        <f t="shared" si="27"/>
        <v>106426617945</v>
      </c>
      <c r="BM6" s="5">
        <f t="shared" ref="BM6:BR6" si="28">SUM(BM7:BM27)</f>
        <v>97926</v>
      </c>
      <c r="BN6" s="5">
        <f t="shared" si="28"/>
        <v>104044424687</v>
      </c>
      <c r="BO6" s="5">
        <f t="shared" si="28"/>
        <v>52917</v>
      </c>
      <c r="BP6" s="5">
        <f t="shared" si="28"/>
        <v>62496628630</v>
      </c>
      <c r="BQ6" s="5">
        <f t="shared" si="28"/>
        <v>45009</v>
      </c>
      <c r="BR6" s="5">
        <f t="shared" si="28"/>
        <v>41547796057</v>
      </c>
      <c r="BS6" s="16" t="s">
        <v>19</v>
      </c>
      <c r="BT6" s="5">
        <f>SUM(BT7:BT27)</f>
        <v>123150</v>
      </c>
      <c r="BU6" s="5">
        <f>SUM(BU7:BU27)</f>
        <v>0</v>
      </c>
      <c r="BV6" s="5">
        <f t="shared" ref="BV6:CA6" si="29">SUM(BV7:BV27)</f>
        <v>0</v>
      </c>
      <c r="BW6" s="5">
        <f t="shared" si="29"/>
        <v>0</v>
      </c>
      <c r="BX6" s="5">
        <f t="shared" si="29"/>
        <v>34750</v>
      </c>
      <c r="BY6" s="5">
        <f t="shared" si="29"/>
        <v>0</v>
      </c>
      <c r="BZ6" s="5">
        <f t="shared" si="29"/>
        <v>0</v>
      </c>
      <c r="CA6" s="7">
        <f t="shared" si="29"/>
        <v>-24392</v>
      </c>
    </row>
    <row r="7" spans="1:79" ht="24" customHeight="1">
      <c r="A7" s="206"/>
      <c r="B7" s="208"/>
      <c r="C7" s="3" t="s">
        <v>20</v>
      </c>
      <c r="D7" s="45">
        <f t="shared" si="9"/>
        <v>1176648.6014753508</v>
      </c>
      <c r="E7" s="45">
        <f t="shared" si="10"/>
        <v>1102830.9366004737</v>
      </c>
      <c r="F7" s="26">
        <f t="shared" si="11"/>
        <v>1119487.8825586478</v>
      </c>
      <c r="G7" s="26">
        <f t="shared" si="12"/>
        <v>1039424.434387116</v>
      </c>
      <c r="H7" s="45">
        <f t="shared" si="13"/>
        <v>1207698.7157747552</v>
      </c>
      <c r="I7" s="45">
        <f t="shared" si="14"/>
        <v>1051292.4873792341</v>
      </c>
      <c r="J7" s="26">
        <f t="shared" si="15"/>
        <v>1222694.7661255316</v>
      </c>
      <c r="K7" s="27">
        <f t="shared" si="16"/>
        <v>1009542.1541720028</v>
      </c>
      <c r="O7" s="214"/>
      <c r="P7" s="3" t="s">
        <v>20</v>
      </c>
      <c r="Q7" s="8">
        <f t="shared" si="17"/>
        <v>1139970.3030687065</v>
      </c>
      <c r="R7" s="6">
        <f>T7+V7</f>
        <v>11047</v>
      </c>
      <c r="S7" s="6">
        <f t="shared" ref="S7:S29" si="30">U7+W7</f>
        <v>12593251938</v>
      </c>
      <c r="T7" s="6">
        <f>AW7</f>
        <v>5558</v>
      </c>
      <c r="U7" s="6">
        <f>AX7-BT7</f>
        <v>6539812927</v>
      </c>
      <c r="V7" s="6">
        <f>AY7</f>
        <v>5489</v>
      </c>
      <c r="W7" s="6">
        <f>AZ7-BU7</f>
        <v>6053439011</v>
      </c>
      <c r="X7" s="8">
        <f t="shared" si="19"/>
        <v>1079919.3451986145</v>
      </c>
      <c r="Y7" s="6">
        <f>AA7+AC7</f>
        <v>13569</v>
      </c>
      <c r="Z7" s="6">
        <f t="shared" ref="Z7:Z29" si="31">AB7+AD7</f>
        <v>14653425595</v>
      </c>
      <c r="AA7" s="6">
        <f>BC7</f>
        <v>6863</v>
      </c>
      <c r="AB7" s="6">
        <f t="shared" ref="AB7:AB29" si="32">BD7-BV7</f>
        <v>7683045338</v>
      </c>
      <c r="AC7" s="6">
        <f>BE7</f>
        <v>6706</v>
      </c>
      <c r="AD7" s="6">
        <f t="shared" ref="AD7:AD29" si="33">BF7-BW7</f>
        <v>6970380257</v>
      </c>
      <c r="AE7" s="8">
        <f t="shared" si="21"/>
        <v>1125433.714107817</v>
      </c>
      <c r="AF7" s="6">
        <f>AH7+AJ7</f>
        <v>49788</v>
      </c>
      <c r="AG7" s="6">
        <f t="shared" ref="AG7:AG29" si="34">AI7+AK7</f>
        <v>56033093758</v>
      </c>
      <c r="AH7" s="6">
        <f>BI7</f>
        <v>23601</v>
      </c>
      <c r="AI7" s="6">
        <f t="shared" ref="AI7:AI29" si="35">BJ7-BX7</f>
        <v>28502897391</v>
      </c>
      <c r="AJ7" s="6">
        <f>BK7</f>
        <v>26187</v>
      </c>
      <c r="AK7" s="6">
        <f t="shared" ref="AK7:AK29" si="36">BL7-BY7</f>
        <v>27530196367</v>
      </c>
      <c r="AL7" s="8">
        <f t="shared" si="23"/>
        <v>1122846.489063221</v>
      </c>
      <c r="AM7" s="6">
        <f>AO7+AQ7</f>
        <v>21670</v>
      </c>
      <c r="AN7" s="6">
        <f t="shared" ref="AN7:AN29" si="37">AP7+AR7</f>
        <v>24332083418</v>
      </c>
      <c r="AO7" s="6">
        <f>BO7</f>
        <v>11519</v>
      </c>
      <c r="AP7" s="6">
        <f t="shared" ref="AP7:AP29" si="38">BP7-BZ7</f>
        <v>14084221011</v>
      </c>
      <c r="AQ7" s="6">
        <f>BQ7</f>
        <v>10151</v>
      </c>
      <c r="AR7" s="6">
        <f t="shared" ref="AR7:AR29" si="39">BR7-CA7</f>
        <v>10247862407</v>
      </c>
      <c r="AT7" s="3" t="s">
        <v>20</v>
      </c>
      <c r="AU7" s="6">
        <f>AW7+AY7</f>
        <v>11047</v>
      </c>
      <c r="AV7" s="6">
        <f t="shared" ref="AV7:AV29" si="40">AX7+AZ7</f>
        <v>12593251938</v>
      </c>
      <c r="AW7" s="6">
        <v>5558</v>
      </c>
      <c r="AX7" s="6">
        <v>6539812927</v>
      </c>
      <c r="AY7" s="6">
        <v>5489</v>
      </c>
      <c r="AZ7" s="6">
        <v>6053439011</v>
      </c>
      <c r="BA7" s="6">
        <f>BC7+BE7</f>
        <v>13569</v>
      </c>
      <c r="BB7" s="6">
        <f t="shared" ref="BB7:BB29" si="41">BD7+BF7</f>
        <v>14653425595</v>
      </c>
      <c r="BC7" s="6">
        <v>6863</v>
      </c>
      <c r="BD7" s="6">
        <v>7683045338</v>
      </c>
      <c r="BE7" s="6">
        <v>6706</v>
      </c>
      <c r="BF7" s="6">
        <v>6970380257</v>
      </c>
      <c r="BG7" s="6">
        <f>BI7+BK7</f>
        <v>49788</v>
      </c>
      <c r="BH7" s="6">
        <f t="shared" ref="BH7:BH29" si="42">BJ7+BL7</f>
        <v>56033128508</v>
      </c>
      <c r="BI7" s="6">
        <v>23601</v>
      </c>
      <c r="BJ7" s="6">
        <v>28502932141</v>
      </c>
      <c r="BK7" s="6">
        <v>26187</v>
      </c>
      <c r="BL7" s="6">
        <v>27530196367</v>
      </c>
      <c r="BM7" s="6">
        <f>BO7+BQ7</f>
        <v>21670</v>
      </c>
      <c r="BN7" s="6">
        <f t="shared" ref="BN7:BN29" si="43">BP7+BR7</f>
        <v>24332059026</v>
      </c>
      <c r="BO7" s="6">
        <v>11519</v>
      </c>
      <c r="BP7" s="6">
        <v>14084221011</v>
      </c>
      <c r="BQ7" s="6">
        <v>10151</v>
      </c>
      <c r="BR7" s="6">
        <v>10247838015</v>
      </c>
      <c r="BS7" s="3" t="s">
        <v>20</v>
      </c>
      <c r="BT7" s="6">
        <v>0</v>
      </c>
      <c r="BU7" s="6">
        <v>0</v>
      </c>
      <c r="BV7" s="6">
        <v>0</v>
      </c>
      <c r="BW7" s="6">
        <v>0</v>
      </c>
      <c r="BX7" s="6">
        <v>34750</v>
      </c>
      <c r="BY7" s="6">
        <v>0</v>
      </c>
      <c r="BZ7" s="6">
        <v>0</v>
      </c>
      <c r="CA7" s="8">
        <v>-24392</v>
      </c>
    </row>
    <row r="8" spans="1:79" ht="24" customHeight="1">
      <c r="A8" s="206"/>
      <c r="B8" s="208"/>
      <c r="C8" s="3" t="s">
        <v>21</v>
      </c>
      <c r="D8" s="45">
        <f t="shared" si="9"/>
        <v>1244502.6084598699</v>
      </c>
      <c r="E8" s="45">
        <f t="shared" si="10"/>
        <v>1258216.7479338844</v>
      </c>
      <c r="F8" s="26">
        <f t="shared" si="11"/>
        <v>1152668.0593080726</v>
      </c>
      <c r="G8" s="26">
        <f t="shared" si="12"/>
        <v>1167976.5952023987</v>
      </c>
      <c r="H8" s="45">
        <f t="shared" si="13"/>
        <v>1350548.8103535355</v>
      </c>
      <c r="I8" s="45">
        <f t="shared" si="14"/>
        <v>1271622.9111721611</v>
      </c>
      <c r="J8" s="26">
        <f t="shared" si="15"/>
        <v>1317443.1691784151</v>
      </c>
      <c r="K8" s="27">
        <f t="shared" si="16"/>
        <v>1184998.898275862</v>
      </c>
      <c r="O8" s="214"/>
      <c r="P8" s="3" t="s">
        <v>21</v>
      </c>
      <c r="Q8" s="8">
        <f t="shared" si="17"/>
        <v>1251526.5698412699</v>
      </c>
      <c r="R8" s="6">
        <f t="shared" ref="R8:R29" si="44">T8+V8</f>
        <v>1890</v>
      </c>
      <c r="S8" s="6">
        <f t="shared" si="30"/>
        <v>2365385217</v>
      </c>
      <c r="T8" s="6">
        <f t="shared" ref="T8:T29" si="45">AW8</f>
        <v>922</v>
      </c>
      <c r="U8" s="6">
        <f t="shared" ref="U8:U29" si="46">AX8-BT8</f>
        <v>1147431405</v>
      </c>
      <c r="V8" s="6">
        <f t="shared" ref="V8:V29" si="47">AY8</f>
        <v>968</v>
      </c>
      <c r="W8" s="6">
        <f t="shared" ref="W8:W29" si="48">AZ8-BU8</f>
        <v>1217953812</v>
      </c>
      <c r="X8" s="8">
        <f t="shared" si="19"/>
        <v>1160682.810832025</v>
      </c>
      <c r="Y8" s="6">
        <f t="shared" ref="Y8:Y29" si="49">AA8+AC8</f>
        <v>2548</v>
      </c>
      <c r="Z8" s="6">
        <f t="shared" si="31"/>
        <v>2957419802</v>
      </c>
      <c r="AA8" s="6">
        <f t="shared" ref="AA8:AC29" si="50">BC8</f>
        <v>1214</v>
      </c>
      <c r="AB8" s="6">
        <f t="shared" si="32"/>
        <v>1399339024</v>
      </c>
      <c r="AC8" s="6">
        <f t="shared" si="50"/>
        <v>1334</v>
      </c>
      <c r="AD8" s="6">
        <f t="shared" si="33"/>
        <v>1558080778</v>
      </c>
      <c r="AE8" s="8">
        <f t="shared" si="21"/>
        <v>1304801.9515923567</v>
      </c>
      <c r="AF8" s="6">
        <f t="shared" ref="AF8:AF29" si="51">AH8+AJ8</f>
        <v>9420</v>
      </c>
      <c r="AG8" s="6">
        <f t="shared" si="34"/>
        <v>12291234384</v>
      </c>
      <c r="AH8" s="6">
        <f t="shared" ref="AH8:AH29" si="52">BI8</f>
        <v>3960</v>
      </c>
      <c r="AI8" s="6">
        <f t="shared" si="35"/>
        <v>5348173289</v>
      </c>
      <c r="AJ8" s="6">
        <f t="shared" ref="AJ8:AJ29" si="53">BK8</f>
        <v>5460</v>
      </c>
      <c r="AK8" s="6">
        <f t="shared" si="36"/>
        <v>6943061095</v>
      </c>
      <c r="AL8" s="8">
        <f t="shared" si="23"/>
        <v>1247241.9563628056</v>
      </c>
      <c r="AM8" s="6">
        <f t="shared" ref="AM8:AM29" si="54">AO8+AQ8</f>
        <v>4377</v>
      </c>
      <c r="AN8" s="6">
        <f t="shared" si="37"/>
        <v>5459178043</v>
      </c>
      <c r="AO8" s="6">
        <f t="shared" ref="AO8:AQ29" si="55">BO8</f>
        <v>2057</v>
      </c>
      <c r="AP8" s="6">
        <f t="shared" si="38"/>
        <v>2709980599</v>
      </c>
      <c r="AQ8" s="6">
        <f t="shared" si="55"/>
        <v>2320</v>
      </c>
      <c r="AR8" s="6">
        <f t="shared" si="39"/>
        <v>2749197444</v>
      </c>
      <c r="AT8" s="3" t="s">
        <v>21</v>
      </c>
      <c r="AU8" s="6">
        <f t="shared" ref="AU8:AU29" si="56">AW8+AY8</f>
        <v>1890</v>
      </c>
      <c r="AV8" s="6">
        <f t="shared" si="40"/>
        <v>2365385217</v>
      </c>
      <c r="AW8" s="6">
        <v>922</v>
      </c>
      <c r="AX8" s="6">
        <v>1147431405</v>
      </c>
      <c r="AY8" s="6">
        <v>968</v>
      </c>
      <c r="AZ8" s="6">
        <v>1217953812</v>
      </c>
      <c r="BA8" s="6">
        <f t="shared" ref="BA8:BA29" si="57">BC8+BE8</f>
        <v>2548</v>
      </c>
      <c r="BB8" s="6">
        <f t="shared" si="41"/>
        <v>2957419802</v>
      </c>
      <c r="BC8" s="6">
        <v>1214</v>
      </c>
      <c r="BD8" s="6">
        <v>1399339024</v>
      </c>
      <c r="BE8" s="6">
        <v>1334</v>
      </c>
      <c r="BF8" s="6">
        <v>1558080778</v>
      </c>
      <c r="BG8" s="6">
        <f t="shared" ref="BG8:BG29" si="58">BI8+BK8</f>
        <v>9420</v>
      </c>
      <c r="BH8" s="6">
        <f t="shared" si="42"/>
        <v>12291234384</v>
      </c>
      <c r="BI8" s="6">
        <v>3960</v>
      </c>
      <c r="BJ8" s="6">
        <v>5348173289</v>
      </c>
      <c r="BK8" s="6">
        <v>5460</v>
      </c>
      <c r="BL8" s="6">
        <v>6943061095</v>
      </c>
      <c r="BM8" s="6">
        <f t="shared" ref="BM8:BM29" si="59">BO8+BQ8</f>
        <v>4377</v>
      </c>
      <c r="BN8" s="6">
        <f t="shared" si="43"/>
        <v>5459178043</v>
      </c>
      <c r="BO8" s="6">
        <v>2057</v>
      </c>
      <c r="BP8" s="6">
        <v>2709980599</v>
      </c>
      <c r="BQ8" s="6">
        <v>2320</v>
      </c>
      <c r="BR8" s="6">
        <v>2749197444</v>
      </c>
      <c r="BS8" s="3" t="s">
        <v>21</v>
      </c>
      <c r="BT8" s="6">
        <v>0</v>
      </c>
      <c r="BU8" s="6">
        <v>0</v>
      </c>
      <c r="BV8" s="6">
        <v>0</v>
      </c>
      <c r="BW8" s="6">
        <v>0</v>
      </c>
      <c r="BX8" s="6">
        <v>0</v>
      </c>
      <c r="BY8" s="6">
        <v>0</v>
      </c>
      <c r="BZ8" s="6">
        <v>0</v>
      </c>
      <c r="CA8" s="6">
        <v>0</v>
      </c>
    </row>
    <row r="9" spans="1:79" ht="24" customHeight="1">
      <c r="A9" s="206"/>
      <c r="B9" s="208"/>
      <c r="C9" s="3" t="s">
        <v>22</v>
      </c>
      <c r="D9" s="45">
        <f t="shared" si="9"/>
        <v>1213830.6323529412</v>
      </c>
      <c r="E9" s="45">
        <f t="shared" si="10"/>
        <v>1106238.8412811388</v>
      </c>
      <c r="F9" s="26">
        <f t="shared" si="11"/>
        <v>1219203.6748701122</v>
      </c>
      <c r="G9" s="26">
        <f t="shared" si="12"/>
        <v>1064268.8667969841</v>
      </c>
      <c r="H9" s="45">
        <f t="shared" si="13"/>
        <v>1267307.898474867</v>
      </c>
      <c r="I9" s="45">
        <f t="shared" si="14"/>
        <v>1059192.5585256517</v>
      </c>
      <c r="J9" s="26">
        <f t="shared" si="15"/>
        <v>1303230.6827296249</v>
      </c>
      <c r="K9" s="27">
        <f t="shared" si="16"/>
        <v>1016783.6199499464</v>
      </c>
      <c r="O9" s="214"/>
      <c r="P9" s="3" t="s">
        <v>22</v>
      </c>
      <c r="Q9" s="8">
        <f t="shared" si="17"/>
        <v>1159823.3202929618</v>
      </c>
      <c r="R9" s="6">
        <f t="shared" si="44"/>
        <v>5598</v>
      </c>
      <c r="S9" s="6">
        <f t="shared" si="30"/>
        <v>6492690947</v>
      </c>
      <c r="T9" s="6">
        <f t="shared" si="45"/>
        <v>2788</v>
      </c>
      <c r="U9" s="6">
        <f t="shared" si="46"/>
        <v>3384159803</v>
      </c>
      <c r="V9" s="6">
        <f t="shared" si="47"/>
        <v>2810</v>
      </c>
      <c r="W9" s="6">
        <f t="shared" si="48"/>
        <v>3108531144</v>
      </c>
      <c r="X9" s="8">
        <f t="shared" si="19"/>
        <v>1142549.6892788063</v>
      </c>
      <c r="Y9" s="6">
        <f t="shared" si="49"/>
        <v>7238</v>
      </c>
      <c r="Z9" s="6">
        <f t="shared" si="31"/>
        <v>8269774651</v>
      </c>
      <c r="AA9" s="6">
        <f t="shared" si="50"/>
        <v>3657</v>
      </c>
      <c r="AB9" s="6">
        <f t="shared" si="32"/>
        <v>4458627839</v>
      </c>
      <c r="AC9" s="6">
        <f t="shared" si="50"/>
        <v>3581</v>
      </c>
      <c r="AD9" s="6">
        <f t="shared" si="33"/>
        <v>3811146812</v>
      </c>
      <c r="AE9" s="8">
        <f t="shared" si="21"/>
        <v>1158908.3055735719</v>
      </c>
      <c r="AF9" s="6">
        <f t="shared" si="51"/>
        <v>23127</v>
      </c>
      <c r="AG9" s="6">
        <f t="shared" si="34"/>
        <v>26802072383</v>
      </c>
      <c r="AH9" s="6">
        <f t="shared" si="52"/>
        <v>11081</v>
      </c>
      <c r="AI9" s="6">
        <f t="shared" si="35"/>
        <v>14043038823</v>
      </c>
      <c r="AJ9" s="6">
        <f t="shared" si="53"/>
        <v>12046</v>
      </c>
      <c r="AK9" s="6">
        <f t="shared" si="36"/>
        <v>12759033560</v>
      </c>
      <c r="AL9" s="8">
        <f t="shared" si="23"/>
        <v>1167181.7041942605</v>
      </c>
      <c r="AM9" s="6">
        <f t="shared" si="54"/>
        <v>11778</v>
      </c>
      <c r="AN9" s="6">
        <f t="shared" si="37"/>
        <v>13747066112</v>
      </c>
      <c r="AO9" s="6">
        <f t="shared" si="55"/>
        <v>6184</v>
      </c>
      <c r="AP9" s="6">
        <f t="shared" si="38"/>
        <v>8059178542</v>
      </c>
      <c r="AQ9" s="6">
        <f t="shared" si="55"/>
        <v>5594</v>
      </c>
      <c r="AR9" s="6">
        <f t="shared" si="39"/>
        <v>5687887570</v>
      </c>
      <c r="AT9" s="3" t="s">
        <v>22</v>
      </c>
      <c r="AU9" s="6">
        <f t="shared" si="56"/>
        <v>5598</v>
      </c>
      <c r="AV9" s="6">
        <f t="shared" si="40"/>
        <v>6492690947</v>
      </c>
      <c r="AW9" s="6">
        <v>2788</v>
      </c>
      <c r="AX9" s="6">
        <v>3384159803</v>
      </c>
      <c r="AY9" s="6">
        <v>2810</v>
      </c>
      <c r="AZ9" s="6">
        <v>3108531144</v>
      </c>
      <c r="BA9" s="6">
        <f t="shared" si="57"/>
        <v>7238</v>
      </c>
      <c r="BB9" s="6">
        <f t="shared" si="41"/>
        <v>8269774651</v>
      </c>
      <c r="BC9" s="6">
        <v>3657</v>
      </c>
      <c r="BD9" s="6">
        <v>4458627839</v>
      </c>
      <c r="BE9" s="6">
        <v>3581</v>
      </c>
      <c r="BF9" s="6">
        <v>3811146812</v>
      </c>
      <c r="BG9" s="6">
        <f t="shared" si="58"/>
        <v>23127</v>
      </c>
      <c r="BH9" s="6">
        <f t="shared" si="42"/>
        <v>26802072383</v>
      </c>
      <c r="BI9" s="6">
        <v>11081</v>
      </c>
      <c r="BJ9" s="6">
        <v>14043038823</v>
      </c>
      <c r="BK9" s="6">
        <v>12046</v>
      </c>
      <c r="BL9" s="6">
        <v>12759033560</v>
      </c>
      <c r="BM9" s="6">
        <f t="shared" si="59"/>
        <v>11778</v>
      </c>
      <c r="BN9" s="6">
        <f t="shared" si="43"/>
        <v>13747066112</v>
      </c>
      <c r="BO9" s="6">
        <v>6184</v>
      </c>
      <c r="BP9" s="6">
        <v>8059178542</v>
      </c>
      <c r="BQ9" s="6">
        <v>5594</v>
      </c>
      <c r="BR9" s="6">
        <v>5687887570</v>
      </c>
      <c r="BS9" s="3" t="s">
        <v>22</v>
      </c>
      <c r="BT9" s="6">
        <v>0</v>
      </c>
      <c r="BU9" s="6">
        <v>0</v>
      </c>
      <c r="BV9" s="6">
        <v>0</v>
      </c>
      <c r="BW9" s="6">
        <v>0</v>
      </c>
      <c r="BX9" s="6">
        <v>0</v>
      </c>
      <c r="BY9" s="6">
        <v>0</v>
      </c>
      <c r="BZ9" s="6">
        <v>0</v>
      </c>
      <c r="CA9" s="6">
        <v>0</v>
      </c>
    </row>
    <row r="10" spans="1:79" ht="24" customHeight="1">
      <c r="A10" s="206"/>
      <c r="B10" s="208"/>
      <c r="C10" s="3" t="s">
        <v>23</v>
      </c>
      <c r="D10" s="45">
        <f t="shared" si="9"/>
        <v>1231780.9523076923</v>
      </c>
      <c r="E10" s="45">
        <f t="shared" si="10"/>
        <v>1233888.5433287483</v>
      </c>
      <c r="F10" s="26">
        <f t="shared" si="11"/>
        <v>1234435.2533632286</v>
      </c>
      <c r="G10" s="26">
        <f t="shared" si="12"/>
        <v>1135113.238410596</v>
      </c>
      <c r="H10" s="45">
        <f t="shared" si="13"/>
        <v>1313709.0935541629</v>
      </c>
      <c r="I10" s="45">
        <f t="shared" si="14"/>
        <v>1139946.312908778</v>
      </c>
      <c r="J10" s="26">
        <f t="shared" si="15"/>
        <v>1335853.1866666668</v>
      </c>
      <c r="K10" s="27">
        <f t="shared" si="16"/>
        <v>1066825.7979876162</v>
      </c>
      <c r="O10" s="214"/>
      <c r="P10" s="3" t="s">
        <v>23</v>
      </c>
      <c r="Q10" s="8">
        <f t="shared" si="17"/>
        <v>1232893.6746550472</v>
      </c>
      <c r="R10" s="6">
        <f t="shared" si="44"/>
        <v>1377</v>
      </c>
      <c r="S10" s="6">
        <f t="shared" si="30"/>
        <v>1697694590</v>
      </c>
      <c r="T10" s="6">
        <f t="shared" si="45"/>
        <v>650</v>
      </c>
      <c r="U10" s="6">
        <f t="shared" si="46"/>
        <v>800657619</v>
      </c>
      <c r="V10" s="6">
        <f t="shared" si="47"/>
        <v>727</v>
      </c>
      <c r="W10" s="6">
        <f t="shared" si="48"/>
        <v>897036971</v>
      </c>
      <c r="X10" s="8">
        <f t="shared" si="19"/>
        <v>1184387.5639599555</v>
      </c>
      <c r="Y10" s="6">
        <f t="shared" si="49"/>
        <v>1798</v>
      </c>
      <c r="Z10" s="6">
        <f t="shared" si="31"/>
        <v>2129528840</v>
      </c>
      <c r="AA10" s="6">
        <f t="shared" si="50"/>
        <v>892</v>
      </c>
      <c r="AB10" s="6">
        <f t="shared" si="32"/>
        <v>1101116246</v>
      </c>
      <c r="AC10" s="6">
        <f t="shared" si="50"/>
        <v>906</v>
      </c>
      <c r="AD10" s="6">
        <f t="shared" si="33"/>
        <v>1028412594</v>
      </c>
      <c r="AE10" s="8">
        <f t="shared" si="21"/>
        <v>1215483.5870791983</v>
      </c>
      <c r="AF10" s="6">
        <f t="shared" si="51"/>
        <v>5139</v>
      </c>
      <c r="AG10" s="6">
        <f t="shared" si="34"/>
        <v>6246370154</v>
      </c>
      <c r="AH10" s="6">
        <f t="shared" si="52"/>
        <v>2234</v>
      </c>
      <c r="AI10" s="6">
        <f t="shared" si="35"/>
        <v>2934826115</v>
      </c>
      <c r="AJ10" s="6">
        <f t="shared" si="53"/>
        <v>2905</v>
      </c>
      <c r="AK10" s="6">
        <f t="shared" si="36"/>
        <v>3311544039</v>
      </c>
      <c r="AL10" s="8">
        <f t="shared" si="23"/>
        <v>1200448.6731593299</v>
      </c>
      <c r="AM10" s="6">
        <f t="shared" si="54"/>
        <v>2567</v>
      </c>
      <c r="AN10" s="6">
        <f t="shared" si="37"/>
        <v>3081551744</v>
      </c>
      <c r="AO10" s="6">
        <f t="shared" si="55"/>
        <v>1275</v>
      </c>
      <c r="AP10" s="6">
        <f t="shared" si="38"/>
        <v>1703212813</v>
      </c>
      <c r="AQ10" s="6">
        <f t="shared" si="55"/>
        <v>1292</v>
      </c>
      <c r="AR10" s="6">
        <f t="shared" si="39"/>
        <v>1378338931</v>
      </c>
      <c r="AT10" s="3" t="s">
        <v>23</v>
      </c>
      <c r="AU10" s="6">
        <f t="shared" si="56"/>
        <v>1377</v>
      </c>
      <c r="AV10" s="6">
        <f t="shared" si="40"/>
        <v>1697694590</v>
      </c>
      <c r="AW10" s="6">
        <v>650</v>
      </c>
      <c r="AX10" s="6">
        <v>800657619</v>
      </c>
      <c r="AY10" s="6">
        <v>727</v>
      </c>
      <c r="AZ10" s="6">
        <v>897036971</v>
      </c>
      <c r="BA10" s="6">
        <f t="shared" si="57"/>
        <v>1798</v>
      </c>
      <c r="BB10" s="6">
        <f t="shared" si="41"/>
        <v>2129528840</v>
      </c>
      <c r="BC10" s="6">
        <v>892</v>
      </c>
      <c r="BD10" s="6">
        <v>1101116246</v>
      </c>
      <c r="BE10" s="6">
        <v>906</v>
      </c>
      <c r="BF10" s="6">
        <v>1028412594</v>
      </c>
      <c r="BG10" s="6">
        <f t="shared" si="58"/>
        <v>5139</v>
      </c>
      <c r="BH10" s="6">
        <f t="shared" si="42"/>
        <v>6246370154</v>
      </c>
      <c r="BI10" s="6">
        <v>2234</v>
      </c>
      <c r="BJ10" s="6">
        <v>2934826115</v>
      </c>
      <c r="BK10" s="6">
        <v>2905</v>
      </c>
      <c r="BL10" s="6">
        <v>3311544039</v>
      </c>
      <c r="BM10" s="6">
        <f t="shared" si="59"/>
        <v>2567</v>
      </c>
      <c r="BN10" s="6">
        <f t="shared" si="43"/>
        <v>3081551744</v>
      </c>
      <c r="BO10" s="6">
        <v>1275</v>
      </c>
      <c r="BP10" s="6">
        <v>1703212813</v>
      </c>
      <c r="BQ10" s="6">
        <v>1292</v>
      </c>
      <c r="BR10" s="6">
        <v>1378338931</v>
      </c>
      <c r="BS10" s="3" t="s">
        <v>23</v>
      </c>
      <c r="BT10" s="6">
        <v>0</v>
      </c>
      <c r="BU10" s="6">
        <v>0</v>
      </c>
      <c r="BV10" s="6">
        <v>0</v>
      </c>
      <c r="BW10" s="6">
        <v>0</v>
      </c>
      <c r="BX10" s="6">
        <v>0</v>
      </c>
      <c r="BY10" s="6">
        <v>0</v>
      </c>
      <c r="BZ10" s="6">
        <v>0</v>
      </c>
      <c r="CA10" s="6">
        <v>0</v>
      </c>
    </row>
    <row r="11" spans="1:79" ht="24" customHeight="1">
      <c r="A11" s="206"/>
      <c r="B11" s="208"/>
      <c r="C11" s="3" t="s">
        <v>24</v>
      </c>
      <c r="D11" s="45">
        <f t="shared" si="9"/>
        <v>1180187.5320334262</v>
      </c>
      <c r="E11" s="45">
        <f t="shared" si="10"/>
        <v>1055361.18395574</v>
      </c>
      <c r="F11" s="26">
        <f t="shared" si="11"/>
        <v>1106328.229032258</v>
      </c>
      <c r="G11" s="26">
        <f t="shared" si="12"/>
        <v>1003183.0251497006</v>
      </c>
      <c r="H11" s="45">
        <f t="shared" si="13"/>
        <v>1182358.66830374</v>
      </c>
      <c r="I11" s="45">
        <f t="shared" si="14"/>
        <v>1050666.0686427457</v>
      </c>
      <c r="J11" s="26">
        <f t="shared" si="15"/>
        <v>1271876.5639976622</v>
      </c>
      <c r="K11" s="27">
        <f t="shared" si="16"/>
        <v>1000106.5010337698</v>
      </c>
      <c r="O11" s="214"/>
      <c r="P11" s="3" t="s">
        <v>24</v>
      </c>
      <c r="Q11" s="8">
        <f t="shared" si="17"/>
        <v>1117557.7959750174</v>
      </c>
      <c r="R11" s="6">
        <f t="shared" si="44"/>
        <v>1441</v>
      </c>
      <c r="S11" s="6">
        <f t="shared" si="30"/>
        <v>1610400784</v>
      </c>
      <c r="T11" s="6">
        <f t="shared" si="45"/>
        <v>718</v>
      </c>
      <c r="U11" s="6">
        <f t="shared" si="46"/>
        <v>847374648</v>
      </c>
      <c r="V11" s="6">
        <f t="shared" si="47"/>
        <v>723</v>
      </c>
      <c r="W11" s="6">
        <f t="shared" si="48"/>
        <v>763026136</v>
      </c>
      <c r="X11" s="8">
        <f t="shared" si="19"/>
        <v>1057531.4895184136</v>
      </c>
      <c r="Y11" s="6">
        <f t="shared" si="49"/>
        <v>1765</v>
      </c>
      <c r="Z11" s="6">
        <f t="shared" si="31"/>
        <v>1866543079</v>
      </c>
      <c r="AA11" s="6">
        <f t="shared" si="50"/>
        <v>930</v>
      </c>
      <c r="AB11" s="6">
        <f t="shared" si="32"/>
        <v>1028885253</v>
      </c>
      <c r="AC11" s="6">
        <f t="shared" si="50"/>
        <v>835</v>
      </c>
      <c r="AD11" s="6">
        <f t="shared" si="33"/>
        <v>837657826</v>
      </c>
      <c r="AE11" s="8">
        <f t="shared" si="21"/>
        <v>1110233.7910116198</v>
      </c>
      <c r="AF11" s="6">
        <f t="shared" si="51"/>
        <v>5852</v>
      </c>
      <c r="AG11" s="6">
        <f t="shared" si="34"/>
        <v>6497088145</v>
      </c>
      <c r="AH11" s="6">
        <f t="shared" si="52"/>
        <v>2647</v>
      </c>
      <c r="AI11" s="6">
        <f t="shared" si="35"/>
        <v>3129703395</v>
      </c>
      <c r="AJ11" s="6">
        <f t="shared" si="53"/>
        <v>3205</v>
      </c>
      <c r="AK11" s="6">
        <f t="shared" si="36"/>
        <v>3367384750</v>
      </c>
      <c r="AL11" s="8">
        <f t="shared" si="23"/>
        <v>1147164.8747628084</v>
      </c>
      <c r="AM11" s="6">
        <f t="shared" si="54"/>
        <v>3162</v>
      </c>
      <c r="AN11" s="6">
        <f t="shared" si="37"/>
        <v>3627335334</v>
      </c>
      <c r="AO11" s="6">
        <f t="shared" si="55"/>
        <v>1711</v>
      </c>
      <c r="AP11" s="6">
        <f t="shared" si="38"/>
        <v>2176180801</v>
      </c>
      <c r="AQ11" s="6">
        <f t="shared" si="55"/>
        <v>1451</v>
      </c>
      <c r="AR11" s="6">
        <f t="shared" si="39"/>
        <v>1451154533</v>
      </c>
      <c r="AT11" s="3" t="s">
        <v>24</v>
      </c>
      <c r="AU11" s="6">
        <f t="shared" si="56"/>
        <v>1441</v>
      </c>
      <c r="AV11" s="6">
        <f t="shared" si="40"/>
        <v>1610400784</v>
      </c>
      <c r="AW11" s="6">
        <v>718</v>
      </c>
      <c r="AX11" s="6">
        <v>847374648</v>
      </c>
      <c r="AY11" s="6">
        <v>723</v>
      </c>
      <c r="AZ11" s="6">
        <v>763026136</v>
      </c>
      <c r="BA11" s="6">
        <f t="shared" si="57"/>
        <v>1765</v>
      </c>
      <c r="BB11" s="6">
        <f t="shared" si="41"/>
        <v>1866543079</v>
      </c>
      <c r="BC11" s="6">
        <v>930</v>
      </c>
      <c r="BD11" s="6">
        <v>1028885253</v>
      </c>
      <c r="BE11" s="6">
        <v>835</v>
      </c>
      <c r="BF11" s="6">
        <v>837657826</v>
      </c>
      <c r="BG11" s="6">
        <f t="shared" si="58"/>
        <v>5852</v>
      </c>
      <c r="BH11" s="6">
        <f t="shared" si="42"/>
        <v>6497088145</v>
      </c>
      <c r="BI11" s="6">
        <v>2647</v>
      </c>
      <c r="BJ11" s="6">
        <v>3129703395</v>
      </c>
      <c r="BK11" s="6">
        <v>3205</v>
      </c>
      <c r="BL11" s="6">
        <v>3367384750</v>
      </c>
      <c r="BM11" s="6">
        <f t="shared" si="59"/>
        <v>3162</v>
      </c>
      <c r="BN11" s="6">
        <f t="shared" si="43"/>
        <v>3627335334</v>
      </c>
      <c r="BO11" s="6">
        <v>1711</v>
      </c>
      <c r="BP11" s="6">
        <v>2176180801</v>
      </c>
      <c r="BQ11" s="6">
        <v>1451</v>
      </c>
      <c r="BR11" s="6">
        <v>1451154533</v>
      </c>
      <c r="BS11" s="3" t="s">
        <v>24</v>
      </c>
      <c r="BT11" s="6">
        <v>0</v>
      </c>
      <c r="BU11" s="6">
        <v>0</v>
      </c>
      <c r="BV11" s="6">
        <v>0</v>
      </c>
      <c r="BW11" s="6">
        <v>0</v>
      </c>
      <c r="BX11" s="6">
        <v>0</v>
      </c>
      <c r="BY11" s="6">
        <v>0</v>
      </c>
      <c r="BZ11" s="6">
        <v>0</v>
      </c>
      <c r="CA11" s="6">
        <v>0</v>
      </c>
    </row>
    <row r="12" spans="1:79" ht="24" customHeight="1">
      <c r="A12" s="206"/>
      <c r="B12" s="208"/>
      <c r="C12" s="3" t="s">
        <v>25</v>
      </c>
      <c r="D12" s="45">
        <f t="shared" si="9"/>
        <v>1132286.6548004316</v>
      </c>
      <c r="E12" s="45">
        <f t="shared" si="10"/>
        <v>980774.38964241673</v>
      </c>
      <c r="F12" s="26">
        <f t="shared" si="11"/>
        <v>1078720.4975922953</v>
      </c>
      <c r="G12" s="26">
        <f t="shared" si="12"/>
        <v>882557.71784037561</v>
      </c>
      <c r="H12" s="45">
        <f t="shared" si="13"/>
        <v>1136317.3833657317</v>
      </c>
      <c r="I12" s="45">
        <f t="shared" si="14"/>
        <v>879596.20378586219</v>
      </c>
      <c r="J12" s="26">
        <f t="shared" si="15"/>
        <v>1140609.1289693594</v>
      </c>
      <c r="K12" s="27">
        <f t="shared" si="16"/>
        <v>827265.10157367669</v>
      </c>
      <c r="O12" s="214"/>
      <c r="P12" s="3" t="s">
        <v>25</v>
      </c>
      <c r="Q12" s="8">
        <f t="shared" si="17"/>
        <v>1061586.7428078251</v>
      </c>
      <c r="R12" s="6">
        <f t="shared" si="44"/>
        <v>3476</v>
      </c>
      <c r="S12" s="6">
        <f t="shared" si="30"/>
        <v>3690075518</v>
      </c>
      <c r="T12" s="6">
        <f t="shared" si="45"/>
        <v>1854</v>
      </c>
      <c r="U12" s="6">
        <f t="shared" si="46"/>
        <v>2099259458</v>
      </c>
      <c r="V12" s="6">
        <f t="shared" si="47"/>
        <v>1622</v>
      </c>
      <c r="W12" s="6">
        <f t="shared" si="48"/>
        <v>1590816060</v>
      </c>
      <c r="X12" s="8">
        <f t="shared" si="19"/>
        <v>988320.94742535695</v>
      </c>
      <c r="Y12" s="6">
        <f t="shared" si="49"/>
        <v>4622</v>
      </c>
      <c r="Z12" s="6">
        <f t="shared" si="31"/>
        <v>4568019419</v>
      </c>
      <c r="AA12" s="6">
        <f t="shared" si="50"/>
        <v>2492</v>
      </c>
      <c r="AB12" s="6">
        <f t="shared" si="32"/>
        <v>2688171480</v>
      </c>
      <c r="AC12" s="6">
        <f t="shared" si="50"/>
        <v>2130</v>
      </c>
      <c r="AD12" s="6">
        <f t="shared" si="33"/>
        <v>1879847939</v>
      </c>
      <c r="AE12" s="8">
        <f t="shared" si="21"/>
        <v>1012001.3839157835</v>
      </c>
      <c r="AF12" s="6">
        <f t="shared" si="51"/>
        <v>13964</v>
      </c>
      <c r="AG12" s="6">
        <f t="shared" si="34"/>
        <v>14131587325</v>
      </c>
      <c r="AH12" s="6">
        <f t="shared" si="52"/>
        <v>7202</v>
      </c>
      <c r="AI12" s="6">
        <f t="shared" si="35"/>
        <v>8183757795</v>
      </c>
      <c r="AJ12" s="6">
        <f t="shared" si="53"/>
        <v>6762</v>
      </c>
      <c r="AK12" s="6">
        <f t="shared" si="36"/>
        <v>5947829530</v>
      </c>
      <c r="AL12" s="8">
        <f t="shared" si="23"/>
        <v>1003416.8488881929</v>
      </c>
      <c r="AM12" s="6">
        <f t="shared" si="54"/>
        <v>6386</v>
      </c>
      <c r="AN12" s="6">
        <f t="shared" si="37"/>
        <v>6407819997</v>
      </c>
      <c r="AO12" s="6">
        <f t="shared" si="55"/>
        <v>3590</v>
      </c>
      <c r="AP12" s="6">
        <f t="shared" si="38"/>
        <v>4094786773</v>
      </c>
      <c r="AQ12" s="6">
        <f t="shared" si="55"/>
        <v>2796</v>
      </c>
      <c r="AR12" s="6">
        <f t="shared" si="39"/>
        <v>2313033224</v>
      </c>
      <c r="AT12" s="3" t="s">
        <v>25</v>
      </c>
      <c r="AU12" s="6">
        <f t="shared" si="56"/>
        <v>3476</v>
      </c>
      <c r="AV12" s="6">
        <f t="shared" si="40"/>
        <v>3690075518</v>
      </c>
      <c r="AW12" s="6">
        <v>1854</v>
      </c>
      <c r="AX12" s="6">
        <v>2099259458</v>
      </c>
      <c r="AY12" s="6">
        <v>1622</v>
      </c>
      <c r="AZ12" s="6">
        <v>1590816060</v>
      </c>
      <c r="BA12" s="6">
        <f t="shared" si="57"/>
        <v>4622</v>
      </c>
      <c r="BB12" s="6">
        <f t="shared" si="41"/>
        <v>4568019419</v>
      </c>
      <c r="BC12" s="6">
        <v>2492</v>
      </c>
      <c r="BD12" s="6">
        <v>2688171480</v>
      </c>
      <c r="BE12" s="6">
        <v>2130</v>
      </c>
      <c r="BF12" s="6">
        <v>1879847939</v>
      </c>
      <c r="BG12" s="6">
        <f t="shared" si="58"/>
        <v>13964</v>
      </c>
      <c r="BH12" s="6">
        <f t="shared" si="42"/>
        <v>14131587325</v>
      </c>
      <c r="BI12" s="6">
        <v>7202</v>
      </c>
      <c r="BJ12" s="6">
        <v>8183757795</v>
      </c>
      <c r="BK12" s="6">
        <v>6762</v>
      </c>
      <c r="BL12" s="6">
        <v>5947829530</v>
      </c>
      <c r="BM12" s="6">
        <f t="shared" si="59"/>
        <v>6386</v>
      </c>
      <c r="BN12" s="6">
        <f t="shared" si="43"/>
        <v>6407819997</v>
      </c>
      <c r="BO12" s="6">
        <v>3590</v>
      </c>
      <c r="BP12" s="6">
        <v>4094786773</v>
      </c>
      <c r="BQ12" s="6">
        <v>2796</v>
      </c>
      <c r="BR12" s="6">
        <v>2313033224</v>
      </c>
      <c r="BS12" s="3" t="s">
        <v>25</v>
      </c>
      <c r="BT12" s="6">
        <v>0</v>
      </c>
      <c r="BU12" s="6">
        <v>0</v>
      </c>
      <c r="BV12" s="6">
        <v>0</v>
      </c>
      <c r="BW12" s="6">
        <v>0</v>
      </c>
      <c r="BX12" s="6">
        <v>0</v>
      </c>
      <c r="BY12" s="6">
        <v>0</v>
      </c>
      <c r="BZ12" s="6">
        <v>0</v>
      </c>
      <c r="CA12" s="6">
        <v>0</v>
      </c>
    </row>
    <row r="13" spans="1:79" ht="24" customHeight="1">
      <c r="A13" s="206"/>
      <c r="B13" s="208"/>
      <c r="C13" s="3" t="s">
        <v>26</v>
      </c>
      <c r="D13" s="45">
        <f t="shared" si="9"/>
        <v>1104184.9754266213</v>
      </c>
      <c r="E13" s="45">
        <f t="shared" si="10"/>
        <v>939201.0633130963</v>
      </c>
      <c r="F13" s="26">
        <f t="shared" si="11"/>
        <v>1038572.8386589838</v>
      </c>
      <c r="G13" s="26">
        <f t="shared" si="12"/>
        <v>855259.66146848607</v>
      </c>
      <c r="H13" s="45">
        <f t="shared" si="13"/>
        <v>1096066.0592352338</v>
      </c>
      <c r="I13" s="45">
        <f t="shared" si="14"/>
        <v>855988.30518059107</v>
      </c>
      <c r="J13" s="26">
        <f t="shared" si="15"/>
        <v>1101649.2210895189</v>
      </c>
      <c r="K13" s="27">
        <f t="shared" si="16"/>
        <v>745876.65556612751</v>
      </c>
      <c r="O13" s="214"/>
      <c r="P13" s="3" t="s">
        <v>26</v>
      </c>
      <c r="Q13" s="8">
        <f t="shared" si="17"/>
        <v>1031523.9935064935</v>
      </c>
      <c r="R13" s="6">
        <f t="shared" si="44"/>
        <v>2618</v>
      </c>
      <c r="S13" s="6">
        <f t="shared" si="30"/>
        <v>2700529815</v>
      </c>
      <c r="T13" s="6">
        <f t="shared" si="45"/>
        <v>1465</v>
      </c>
      <c r="U13" s="6">
        <f t="shared" si="46"/>
        <v>1617630989</v>
      </c>
      <c r="V13" s="6">
        <f t="shared" si="47"/>
        <v>1153</v>
      </c>
      <c r="W13" s="6">
        <f t="shared" si="48"/>
        <v>1082898826</v>
      </c>
      <c r="X13" s="8">
        <f t="shared" si="19"/>
        <v>956751.78886310908</v>
      </c>
      <c r="Y13" s="6">
        <f t="shared" si="49"/>
        <v>3448</v>
      </c>
      <c r="Z13" s="6">
        <f t="shared" si="31"/>
        <v>3298880168</v>
      </c>
      <c r="AA13" s="6">
        <f t="shared" si="50"/>
        <v>1909</v>
      </c>
      <c r="AB13" s="6">
        <f t="shared" si="32"/>
        <v>1982635549</v>
      </c>
      <c r="AC13" s="6">
        <f t="shared" si="50"/>
        <v>1539</v>
      </c>
      <c r="AD13" s="6">
        <f t="shared" si="33"/>
        <v>1316244619</v>
      </c>
      <c r="AE13" s="8">
        <f t="shared" si="21"/>
        <v>980007.30723104056</v>
      </c>
      <c r="AF13" s="6">
        <f t="shared" si="51"/>
        <v>11340</v>
      </c>
      <c r="AG13" s="6">
        <f t="shared" si="34"/>
        <v>11113282864</v>
      </c>
      <c r="AH13" s="6">
        <f t="shared" si="52"/>
        <v>5858</v>
      </c>
      <c r="AI13" s="6">
        <f t="shared" si="35"/>
        <v>6420754975</v>
      </c>
      <c r="AJ13" s="6">
        <f t="shared" si="53"/>
        <v>5482</v>
      </c>
      <c r="AK13" s="6">
        <f t="shared" si="36"/>
        <v>4692527889</v>
      </c>
      <c r="AL13" s="8">
        <f t="shared" si="23"/>
        <v>958960.05247090245</v>
      </c>
      <c r="AM13" s="6">
        <f t="shared" si="54"/>
        <v>5241</v>
      </c>
      <c r="AN13" s="6">
        <f t="shared" si="37"/>
        <v>5025909635</v>
      </c>
      <c r="AO13" s="6">
        <f t="shared" si="55"/>
        <v>3139</v>
      </c>
      <c r="AP13" s="6">
        <f t="shared" si="38"/>
        <v>3458076905</v>
      </c>
      <c r="AQ13" s="6">
        <f t="shared" si="55"/>
        <v>2102</v>
      </c>
      <c r="AR13" s="6">
        <f t="shared" si="39"/>
        <v>1567832730</v>
      </c>
      <c r="AT13" s="3" t="s">
        <v>26</v>
      </c>
      <c r="AU13" s="6">
        <f t="shared" si="56"/>
        <v>2618</v>
      </c>
      <c r="AV13" s="6">
        <f t="shared" si="40"/>
        <v>2700529815</v>
      </c>
      <c r="AW13" s="6">
        <v>1465</v>
      </c>
      <c r="AX13" s="6">
        <v>1617630989</v>
      </c>
      <c r="AY13" s="6">
        <v>1153</v>
      </c>
      <c r="AZ13" s="6">
        <v>1082898826</v>
      </c>
      <c r="BA13" s="6">
        <f t="shared" si="57"/>
        <v>3448</v>
      </c>
      <c r="BB13" s="6">
        <f t="shared" si="41"/>
        <v>3298880168</v>
      </c>
      <c r="BC13" s="6">
        <v>1909</v>
      </c>
      <c r="BD13" s="6">
        <v>1982635549</v>
      </c>
      <c r="BE13" s="6">
        <v>1539</v>
      </c>
      <c r="BF13" s="6">
        <v>1316244619</v>
      </c>
      <c r="BG13" s="6">
        <f t="shared" si="58"/>
        <v>11340</v>
      </c>
      <c r="BH13" s="6">
        <f t="shared" si="42"/>
        <v>11113282864</v>
      </c>
      <c r="BI13" s="6">
        <v>5858</v>
      </c>
      <c r="BJ13" s="6">
        <v>6420754975</v>
      </c>
      <c r="BK13" s="6">
        <v>5482</v>
      </c>
      <c r="BL13" s="6">
        <v>4692527889</v>
      </c>
      <c r="BM13" s="6">
        <f t="shared" si="59"/>
        <v>5241</v>
      </c>
      <c r="BN13" s="6">
        <f t="shared" si="43"/>
        <v>5025909635</v>
      </c>
      <c r="BO13" s="6">
        <v>3139</v>
      </c>
      <c r="BP13" s="6">
        <v>3458076905</v>
      </c>
      <c r="BQ13" s="6">
        <v>2102</v>
      </c>
      <c r="BR13" s="6">
        <v>1567832730</v>
      </c>
      <c r="BS13" s="3" t="s">
        <v>26</v>
      </c>
      <c r="BT13" s="6">
        <v>0</v>
      </c>
      <c r="BU13" s="6">
        <v>0</v>
      </c>
      <c r="BV13" s="6">
        <v>0</v>
      </c>
      <c r="BW13" s="6">
        <v>0</v>
      </c>
      <c r="BX13" s="6">
        <v>0</v>
      </c>
      <c r="BY13" s="6">
        <v>0</v>
      </c>
      <c r="BZ13" s="6">
        <v>0</v>
      </c>
      <c r="CA13" s="6">
        <v>0</v>
      </c>
    </row>
    <row r="14" spans="1:79" ht="24" customHeight="1">
      <c r="A14" s="206"/>
      <c r="B14" s="208"/>
      <c r="C14" s="3" t="s">
        <v>27</v>
      </c>
      <c r="D14" s="45">
        <f t="shared" si="9"/>
        <v>1067019.9822006472</v>
      </c>
      <c r="E14" s="45">
        <f t="shared" si="10"/>
        <v>958895.70175438595</v>
      </c>
      <c r="F14" s="26">
        <f t="shared" si="11"/>
        <v>957349.53313696617</v>
      </c>
      <c r="G14" s="26">
        <f t="shared" si="12"/>
        <v>884418.17179902759</v>
      </c>
      <c r="H14" s="45">
        <f t="shared" si="13"/>
        <v>1093493.5377272728</v>
      </c>
      <c r="I14" s="45">
        <f t="shared" si="14"/>
        <v>932396.76642335765</v>
      </c>
      <c r="J14" s="26">
        <f t="shared" si="15"/>
        <v>1082511.5312246552</v>
      </c>
      <c r="K14" s="27">
        <f t="shared" si="16"/>
        <v>816806.72808764945</v>
      </c>
      <c r="O14" s="214"/>
      <c r="P14" s="3" t="s">
        <v>27</v>
      </c>
      <c r="Q14" s="8">
        <f t="shared" si="17"/>
        <v>1015142.1708754209</v>
      </c>
      <c r="R14" s="6">
        <f t="shared" si="44"/>
        <v>1188</v>
      </c>
      <c r="S14" s="6">
        <f t="shared" si="30"/>
        <v>1205988899</v>
      </c>
      <c r="T14" s="6">
        <f t="shared" si="45"/>
        <v>618</v>
      </c>
      <c r="U14" s="6">
        <f t="shared" si="46"/>
        <v>659418349</v>
      </c>
      <c r="V14" s="6">
        <f t="shared" si="47"/>
        <v>570</v>
      </c>
      <c r="W14" s="6">
        <f t="shared" si="48"/>
        <v>546570550</v>
      </c>
      <c r="X14" s="8">
        <f t="shared" si="19"/>
        <v>922628.35262345674</v>
      </c>
      <c r="Y14" s="6">
        <f t="shared" si="49"/>
        <v>1296</v>
      </c>
      <c r="Z14" s="6">
        <f t="shared" si="31"/>
        <v>1195726345</v>
      </c>
      <c r="AA14" s="6">
        <f t="shared" si="50"/>
        <v>679</v>
      </c>
      <c r="AB14" s="6">
        <f t="shared" si="32"/>
        <v>650040333</v>
      </c>
      <c r="AC14" s="6">
        <f t="shared" si="50"/>
        <v>617</v>
      </c>
      <c r="AD14" s="6">
        <f t="shared" si="33"/>
        <v>545686012</v>
      </c>
      <c r="AE14" s="8">
        <f t="shared" si="21"/>
        <v>1008353.2381054437</v>
      </c>
      <c r="AF14" s="6">
        <f t="shared" si="51"/>
        <v>4666</v>
      </c>
      <c r="AG14" s="6">
        <f t="shared" si="34"/>
        <v>4704976209</v>
      </c>
      <c r="AH14" s="6">
        <f t="shared" si="52"/>
        <v>2200</v>
      </c>
      <c r="AI14" s="6">
        <f t="shared" si="35"/>
        <v>2405685783</v>
      </c>
      <c r="AJ14" s="6">
        <f t="shared" si="53"/>
        <v>2466</v>
      </c>
      <c r="AK14" s="6">
        <f t="shared" si="36"/>
        <v>2299290426</v>
      </c>
      <c r="AL14" s="8">
        <f t="shared" si="23"/>
        <v>963259.12963790796</v>
      </c>
      <c r="AM14" s="6">
        <f t="shared" si="54"/>
        <v>2237</v>
      </c>
      <c r="AN14" s="6">
        <f t="shared" si="37"/>
        <v>2154810673</v>
      </c>
      <c r="AO14" s="6">
        <f t="shared" si="55"/>
        <v>1233</v>
      </c>
      <c r="AP14" s="6">
        <f t="shared" si="38"/>
        <v>1334736718</v>
      </c>
      <c r="AQ14" s="6">
        <f t="shared" si="55"/>
        <v>1004</v>
      </c>
      <c r="AR14" s="6">
        <f t="shared" si="39"/>
        <v>820073955</v>
      </c>
      <c r="AT14" s="3" t="s">
        <v>27</v>
      </c>
      <c r="AU14" s="6">
        <f t="shared" si="56"/>
        <v>1188</v>
      </c>
      <c r="AV14" s="6">
        <f t="shared" si="40"/>
        <v>1205988899</v>
      </c>
      <c r="AW14" s="6">
        <v>618</v>
      </c>
      <c r="AX14" s="6">
        <v>659418349</v>
      </c>
      <c r="AY14" s="6">
        <v>570</v>
      </c>
      <c r="AZ14" s="6">
        <v>546570550</v>
      </c>
      <c r="BA14" s="6">
        <f t="shared" si="57"/>
        <v>1296</v>
      </c>
      <c r="BB14" s="6">
        <f t="shared" si="41"/>
        <v>1195726345</v>
      </c>
      <c r="BC14" s="6">
        <v>679</v>
      </c>
      <c r="BD14" s="6">
        <v>650040333</v>
      </c>
      <c r="BE14" s="6">
        <v>617</v>
      </c>
      <c r="BF14" s="6">
        <v>545686012</v>
      </c>
      <c r="BG14" s="6">
        <f t="shared" si="58"/>
        <v>4666</v>
      </c>
      <c r="BH14" s="6">
        <f t="shared" si="42"/>
        <v>4704976209</v>
      </c>
      <c r="BI14" s="6">
        <v>2200</v>
      </c>
      <c r="BJ14" s="6">
        <v>2405685783</v>
      </c>
      <c r="BK14" s="6">
        <v>2466</v>
      </c>
      <c r="BL14" s="6">
        <v>2299290426</v>
      </c>
      <c r="BM14" s="6">
        <f t="shared" si="59"/>
        <v>2237</v>
      </c>
      <c r="BN14" s="6">
        <f t="shared" si="43"/>
        <v>2154810673</v>
      </c>
      <c r="BO14" s="6">
        <v>1233</v>
      </c>
      <c r="BP14" s="6">
        <v>1334736718</v>
      </c>
      <c r="BQ14" s="6">
        <v>1004</v>
      </c>
      <c r="BR14" s="6">
        <v>820073955</v>
      </c>
      <c r="BS14" s="3" t="s">
        <v>27</v>
      </c>
      <c r="BT14" s="6">
        <v>0</v>
      </c>
      <c r="BU14" s="6">
        <v>0</v>
      </c>
      <c r="BV14" s="6">
        <v>0</v>
      </c>
      <c r="BW14" s="6">
        <v>0</v>
      </c>
      <c r="BX14" s="6">
        <v>0</v>
      </c>
      <c r="BY14" s="6">
        <v>0</v>
      </c>
      <c r="BZ14" s="6">
        <v>0</v>
      </c>
      <c r="CA14" s="6">
        <v>0</v>
      </c>
    </row>
    <row r="15" spans="1:79" ht="24" customHeight="1">
      <c r="A15" s="206"/>
      <c r="B15" s="208"/>
      <c r="C15" s="3" t="s">
        <v>28</v>
      </c>
      <c r="D15" s="45">
        <f t="shared" si="9"/>
        <v>999697.4008042895</v>
      </c>
      <c r="E15" s="45">
        <f t="shared" si="10"/>
        <v>899189.0615384616</v>
      </c>
      <c r="F15" s="26">
        <f t="shared" si="11"/>
        <v>970351.97489539743</v>
      </c>
      <c r="G15" s="26">
        <f t="shared" si="12"/>
        <v>820240.02511961723</v>
      </c>
      <c r="H15" s="45">
        <f t="shared" si="13"/>
        <v>1016284.719346049</v>
      </c>
      <c r="I15" s="45">
        <f t="shared" si="14"/>
        <v>827108.04775857017</v>
      </c>
      <c r="J15" s="26">
        <f t="shared" si="15"/>
        <v>1027062.5459363958</v>
      </c>
      <c r="K15" s="27">
        <f t="shared" si="16"/>
        <v>729884.58798586577</v>
      </c>
      <c r="O15" s="214"/>
      <c r="P15" s="3" t="s">
        <v>28</v>
      </c>
      <c r="Q15" s="8">
        <f t="shared" si="17"/>
        <v>952899.10530085955</v>
      </c>
      <c r="R15" s="6">
        <f t="shared" si="44"/>
        <v>1396</v>
      </c>
      <c r="S15" s="6">
        <f t="shared" si="30"/>
        <v>1330247151</v>
      </c>
      <c r="T15" s="6">
        <f t="shared" si="45"/>
        <v>746</v>
      </c>
      <c r="U15" s="6">
        <f t="shared" si="46"/>
        <v>745774261</v>
      </c>
      <c r="V15" s="6">
        <f t="shared" si="47"/>
        <v>650</v>
      </c>
      <c r="W15" s="6">
        <f t="shared" si="48"/>
        <v>584472890</v>
      </c>
      <c r="X15" s="8">
        <f t="shared" si="19"/>
        <v>900322.06975446432</v>
      </c>
      <c r="Y15" s="6">
        <f t="shared" si="49"/>
        <v>1792</v>
      </c>
      <c r="Z15" s="6">
        <f t="shared" si="31"/>
        <v>1613377149</v>
      </c>
      <c r="AA15" s="6">
        <f t="shared" si="50"/>
        <v>956</v>
      </c>
      <c r="AB15" s="6">
        <f t="shared" si="32"/>
        <v>927656488</v>
      </c>
      <c r="AC15" s="6">
        <f t="shared" si="50"/>
        <v>836</v>
      </c>
      <c r="AD15" s="6">
        <f t="shared" si="33"/>
        <v>685720661</v>
      </c>
      <c r="AE15" s="8">
        <f t="shared" si="21"/>
        <v>920147.14041095891</v>
      </c>
      <c r="AF15" s="6">
        <f t="shared" si="51"/>
        <v>6716</v>
      </c>
      <c r="AG15" s="6">
        <f t="shared" si="34"/>
        <v>6179708195</v>
      </c>
      <c r="AH15" s="6">
        <f t="shared" si="52"/>
        <v>3303</v>
      </c>
      <c r="AI15" s="6">
        <f t="shared" si="35"/>
        <v>3356788428</v>
      </c>
      <c r="AJ15" s="6">
        <f t="shared" si="53"/>
        <v>3413</v>
      </c>
      <c r="AK15" s="6">
        <f t="shared" si="36"/>
        <v>2822919767</v>
      </c>
      <c r="AL15" s="8">
        <f t="shared" si="23"/>
        <v>891981.65595888207</v>
      </c>
      <c r="AM15" s="6">
        <f t="shared" si="54"/>
        <v>3113</v>
      </c>
      <c r="AN15" s="6">
        <f t="shared" si="37"/>
        <v>2776738895</v>
      </c>
      <c r="AO15" s="6">
        <f t="shared" si="55"/>
        <v>1698</v>
      </c>
      <c r="AP15" s="6">
        <f t="shared" si="38"/>
        <v>1743952203</v>
      </c>
      <c r="AQ15" s="6">
        <f t="shared" si="55"/>
        <v>1415</v>
      </c>
      <c r="AR15" s="6">
        <f t="shared" si="39"/>
        <v>1032786692</v>
      </c>
      <c r="AT15" s="3" t="s">
        <v>28</v>
      </c>
      <c r="AU15" s="6">
        <f t="shared" si="56"/>
        <v>1396</v>
      </c>
      <c r="AV15" s="6">
        <f t="shared" si="40"/>
        <v>1330247151</v>
      </c>
      <c r="AW15" s="6">
        <v>746</v>
      </c>
      <c r="AX15" s="6">
        <v>745774261</v>
      </c>
      <c r="AY15" s="6">
        <v>650</v>
      </c>
      <c r="AZ15" s="6">
        <v>584472890</v>
      </c>
      <c r="BA15" s="6">
        <f t="shared" si="57"/>
        <v>1792</v>
      </c>
      <c r="BB15" s="6">
        <f t="shared" si="41"/>
        <v>1613377149</v>
      </c>
      <c r="BC15" s="6">
        <v>956</v>
      </c>
      <c r="BD15" s="6">
        <v>927656488</v>
      </c>
      <c r="BE15" s="6">
        <v>836</v>
      </c>
      <c r="BF15" s="6">
        <v>685720661</v>
      </c>
      <c r="BG15" s="6">
        <f t="shared" si="58"/>
        <v>6716</v>
      </c>
      <c r="BH15" s="6">
        <f t="shared" si="42"/>
        <v>6179708195</v>
      </c>
      <c r="BI15" s="6">
        <v>3303</v>
      </c>
      <c r="BJ15" s="6">
        <v>3356788428</v>
      </c>
      <c r="BK15" s="6">
        <v>3413</v>
      </c>
      <c r="BL15" s="6">
        <v>2822919767</v>
      </c>
      <c r="BM15" s="6">
        <f t="shared" si="59"/>
        <v>3113</v>
      </c>
      <c r="BN15" s="6">
        <f t="shared" si="43"/>
        <v>2776738895</v>
      </c>
      <c r="BO15" s="6">
        <v>1698</v>
      </c>
      <c r="BP15" s="6">
        <v>1743952203</v>
      </c>
      <c r="BQ15" s="6">
        <v>1415</v>
      </c>
      <c r="BR15" s="6">
        <v>1032786692</v>
      </c>
      <c r="BS15" s="3" t="s">
        <v>28</v>
      </c>
      <c r="BT15" s="6">
        <v>0</v>
      </c>
      <c r="BU15" s="6">
        <v>0</v>
      </c>
      <c r="BV15" s="6">
        <v>0</v>
      </c>
      <c r="BW15" s="6">
        <v>0</v>
      </c>
      <c r="BX15" s="6">
        <v>0</v>
      </c>
      <c r="BY15" s="6">
        <v>0</v>
      </c>
      <c r="BZ15" s="6">
        <v>0</v>
      </c>
      <c r="CA15" s="6">
        <v>0</v>
      </c>
    </row>
    <row r="16" spans="1:79" ht="24" customHeight="1">
      <c r="A16" s="206"/>
      <c r="B16" s="208"/>
      <c r="C16" s="3" t="s">
        <v>29</v>
      </c>
      <c r="D16" s="45">
        <f t="shared" si="9"/>
        <v>1092904.6640826873</v>
      </c>
      <c r="E16" s="45">
        <f t="shared" si="10"/>
        <v>928211.57414448669</v>
      </c>
      <c r="F16" s="26">
        <f t="shared" si="11"/>
        <v>1126264.3112582781</v>
      </c>
      <c r="G16" s="26">
        <f t="shared" si="12"/>
        <v>897828.41687979538</v>
      </c>
      <c r="H16" s="45">
        <f t="shared" si="13"/>
        <v>1065928.4241724403</v>
      </c>
      <c r="I16" s="45">
        <f t="shared" si="14"/>
        <v>857793.53537936916</v>
      </c>
      <c r="J16" s="26">
        <f t="shared" si="15"/>
        <v>1088408.4912043302</v>
      </c>
      <c r="K16" s="27">
        <f t="shared" si="16"/>
        <v>776065.28064516129</v>
      </c>
      <c r="O16" s="214"/>
      <c r="P16" s="3" t="s">
        <v>29</v>
      </c>
      <c r="Q16" s="8">
        <f t="shared" si="17"/>
        <v>1026267.3061538462</v>
      </c>
      <c r="R16" s="6">
        <f t="shared" si="44"/>
        <v>650</v>
      </c>
      <c r="S16" s="6">
        <f t="shared" si="30"/>
        <v>667073749</v>
      </c>
      <c r="T16" s="6">
        <f t="shared" si="45"/>
        <v>387</v>
      </c>
      <c r="U16" s="6">
        <f t="shared" si="46"/>
        <v>422954105</v>
      </c>
      <c r="V16" s="6">
        <f t="shared" si="47"/>
        <v>263</v>
      </c>
      <c r="W16" s="6">
        <f t="shared" si="48"/>
        <v>244119644</v>
      </c>
      <c r="X16" s="8">
        <f t="shared" si="19"/>
        <v>1020436.7819905214</v>
      </c>
      <c r="Y16" s="6">
        <f t="shared" si="49"/>
        <v>844</v>
      </c>
      <c r="Z16" s="6">
        <f t="shared" si="31"/>
        <v>861248644</v>
      </c>
      <c r="AA16" s="6">
        <f t="shared" si="50"/>
        <v>453</v>
      </c>
      <c r="AB16" s="6">
        <f t="shared" si="32"/>
        <v>510197733</v>
      </c>
      <c r="AC16" s="6">
        <f t="shared" si="50"/>
        <v>391</v>
      </c>
      <c r="AD16" s="6">
        <f t="shared" si="33"/>
        <v>351050911</v>
      </c>
      <c r="AE16" s="8">
        <f t="shared" si="21"/>
        <v>967165.38834951457</v>
      </c>
      <c r="AF16" s="6">
        <f t="shared" si="51"/>
        <v>2472</v>
      </c>
      <c r="AG16" s="6">
        <f t="shared" si="34"/>
        <v>2390832840</v>
      </c>
      <c r="AH16" s="6">
        <f t="shared" si="52"/>
        <v>1299</v>
      </c>
      <c r="AI16" s="6">
        <f t="shared" si="35"/>
        <v>1384641023</v>
      </c>
      <c r="AJ16" s="6">
        <f t="shared" si="53"/>
        <v>1173</v>
      </c>
      <c r="AK16" s="6">
        <f t="shared" si="36"/>
        <v>1006191817</v>
      </c>
      <c r="AL16" s="8">
        <f t="shared" si="23"/>
        <v>945911.95658572484</v>
      </c>
      <c r="AM16" s="6">
        <f t="shared" si="54"/>
        <v>1359</v>
      </c>
      <c r="AN16" s="6">
        <f t="shared" si="37"/>
        <v>1285494349</v>
      </c>
      <c r="AO16" s="6">
        <f t="shared" si="55"/>
        <v>739</v>
      </c>
      <c r="AP16" s="6">
        <f t="shared" si="38"/>
        <v>804333875</v>
      </c>
      <c r="AQ16" s="6">
        <f t="shared" si="55"/>
        <v>620</v>
      </c>
      <c r="AR16" s="6">
        <f t="shared" si="39"/>
        <v>481160474</v>
      </c>
      <c r="AT16" s="3" t="s">
        <v>29</v>
      </c>
      <c r="AU16" s="6">
        <f t="shared" si="56"/>
        <v>650</v>
      </c>
      <c r="AV16" s="6">
        <f t="shared" si="40"/>
        <v>667073749</v>
      </c>
      <c r="AW16" s="6">
        <v>387</v>
      </c>
      <c r="AX16" s="6">
        <v>422954105</v>
      </c>
      <c r="AY16" s="6">
        <v>263</v>
      </c>
      <c r="AZ16" s="6">
        <v>244119644</v>
      </c>
      <c r="BA16" s="6">
        <f t="shared" si="57"/>
        <v>844</v>
      </c>
      <c r="BB16" s="6">
        <f t="shared" si="41"/>
        <v>861248644</v>
      </c>
      <c r="BC16" s="6">
        <v>453</v>
      </c>
      <c r="BD16" s="6">
        <v>510197733</v>
      </c>
      <c r="BE16" s="6">
        <v>391</v>
      </c>
      <c r="BF16" s="6">
        <v>351050911</v>
      </c>
      <c r="BG16" s="6">
        <f t="shared" si="58"/>
        <v>2472</v>
      </c>
      <c r="BH16" s="6">
        <f t="shared" si="42"/>
        <v>2390832840</v>
      </c>
      <c r="BI16" s="6">
        <v>1299</v>
      </c>
      <c r="BJ16" s="6">
        <v>1384641023</v>
      </c>
      <c r="BK16" s="6">
        <v>1173</v>
      </c>
      <c r="BL16" s="6">
        <v>1006191817</v>
      </c>
      <c r="BM16" s="6">
        <f t="shared" si="59"/>
        <v>1359</v>
      </c>
      <c r="BN16" s="6">
        <f t="shared" si="43"/>
        <v>1285494349</v>
      </c>
      <c r="BO16" s="6">
        <v>739</v>
      </c>
      <c r="BP16" s="6">
        <v>804333875</v>
      </c>
      <c r="BQ16" s="6">
        <v>620</v>
      </c>
      <c r="BR16" s="6">
        <v>481160474</v>
      </c>
      <c r="BS16" s="3" t="s">
        <v>29</v>
      </c>
      <c r="BT16" s="6">
        <v>0</v>
      </c>
      <c r="BU16" s="6">
        <v>0</v>
      </c>
      <c r="BV16" s="6">
        <v>0</v>
      </c>
      <c r="BW16" s="6">
        <v>0</v>
      </c>
      <c r="BX16" s="6">
        <v>0</v>
      </c>
      <c r="BY16" s="6">
        <v>0</v>
      </c>
      <c r="BZ16" s="6">
        <v>0</v>
      </c>
      <c r="CA16" s="6">
        <v>0</v>
      </c>
    </row>
    <row r="17" spans="1:79" ht="24" customHeight="1">
      <c r="A17" s="206"/>
      <c r="B17" s="208"/>
      <c r="C17" s="3" t="s">
        <v>30</v>
      </c>
      <c r="D17" s="45">
        <f t="shared" si="9"/>
        <v>1131660.1459129106</v>
      </c>
      <c r="E17" s="45">
        <f t="shared" si="10"/>
        <v>887946.59790874529</v>
      </c>
      <c r="F17" s="26">
        <f t="shared" si="11"/>
        <v>1087169.5081050866</v>
      </c>
      <c r="G17" s="26">
        <f t="shared" si="12"/>
        <v>850815.40234375</v>
      </c>
      <c r="H17" s="45">
        <f t="shared" si="13"/>
        <v>1148368.0768603466</v>
      </c>
      <c r="I17" s="45">
        <f t="shared" si="14"/>
        <v>867807.93395581876</v>
      </c>
      <c r="J17" s="26">
        <f t="shared" si="15"/>
        <v>1127801.07518797</v>
      </c>
      <c r="K17" s="27">
        <f t="shared" si="16"/>
        <v>782441.13453339646</v>
      </c>
      <c r="O17" s="214"/>
      <c r="P17" s="3" t="s">
        <v>30</v>
      </c>
      <c r="Q17" s="8">
        <f t="shared" si="17"/>
        <v>1023067.7475645912</v>
      </c>
      <c r="R17" s="6">
        <f t="shared" si="44"/>
        <v>2361</v>
      </c>
      <c r="S17" s="6">
        <f t="shared" si="30"/>
        <v>2415462952</v>
      </c>
      <c r="T17" s="6">
        <f t="shared" si="45"/>
        <v>1309</v>
      </c>
      <c r="U17" s="6">
        <f t="shared" si="46"/>
        <v>1481343131</v>
      </c>
      <c r="V17" s="6">
        <f t="shared" si="47"/>
        <v>1052</v>
      </c>
      <c r="W17" s="6">
        <f t="shared" si="48"/>
        <v>934119821</v>
      </c>
      <c r="X17" s="8">
        <f t="shared" si="19"/>
        <v>988592.36396220268</v>
      </c>
      <c r="Y17" s="6">
        <f t="shared" si="49"/>
        <v>3069</v>
      </c>
      <c r="Z17" s="6">
        <f t="shared" si="31"/>
        <v>3033989965</v>
      </c>
      <c r="AA17" s="6">
        <f t="shared" si="50"/>
        <v>1789</v>
      </c>
      <c r="AB17" s="6">
        <f t="shared" si="32"/>
        <v>1944946250</v>
      </c>
      <c r="AC17" s="6">
        <f t="shared" si="50"/>
        <v>1280</v>
      </c>
      <c r="AD17" s="6">
        <f t="shared" si="33"/>
        <v>1089043715</v>
      </c>
      <c r="AE17" s="8">
        <f t="shared" si="21"/>
        <v>1015844.4551419966</v>
      </c>
      <c r="AF17" s="6">
        <f t="shared" si="51"/>
        <v>9296</v>
      </c>
      <c r="AG17" s="6">
        <f t="shared" si="34"/>
        <v>9443290055</v>
      </c>
      <c r="AH17" s="6">
        <f t="shared" si="52"/>
        <v>4905</v>
      </c>
      <c r="AI17" s="6">
        <f t="shared" si="35"/>
        <v>5632745417</v>
      </c>
      <c r="AJ17" s="6">
        <f t="shared" si="53"/>
        <v>4391</v>
      </c>
      <c r="AK17" s="6">
        <f t="shared" si="36"/>
        <v>3810544638</v>
      </c>
      <c r="AL17" s="8">
        <f t="shared" si="23"/>
        <v>979135.73368678626</v>
      </c>
      <c r="AM17" s="6">
        <f t="shared" si="54"/>
        <v>4904</v>
      </c>
      <c r="AN17" s="6">
        <f t="shared" si="37"/>
        <v>4801681638</v>
      </c>
      <c r="AO17" s="6">
        <f t="shared" si="55"/>
        <v>2793</v>
      </c>
      <c r="AP17" s="6">
        <f t="shared" si="38"/>
        <v>3149948403</v>
      </c>
      <c r="AQ17" s="6">
        <f t="shared" si="55"/>
        <v>2111</v>
      </c>
      <c r="AR17" s="6">
        <f t="shared" si="39"/>
        <v>1651733235</v>
      </c>
      <c r="AT17" s="3" t="s">
        <v>30</v>
      </c>
      <c r="AU17" s="6">
        <f t="shared" si="56"/>
        <v>2361</v>
      </c>
      <c r="AV17" s="6">
        <f t="shared" si="40"/>
        <v>2415462952</v>
      </c>
      <c r="AW17" s="6">
        <v>1309</v>
      </c>
      <c r="AX17" s="6">
        <v>1481343131</v>
      </c>
      <c r="AY17" s="6">
        <v>1052</v>
      </c>
      <c r="AZ17" s="6">
        <v>934119821</v>
      </c>
      <c r="BA17" s="6">
        <f t="shared" si="57"/>
        <v>3069</v>
      </c>
      <c r="BB17" s="6">
        <f t="shared" si="41"/>
        <v>3033989965</v>
      </c>
      <c r="BC17" s="6">
        <v>1789</v>
      </c>
      <c r="BD17" s="6">
        <v>1944946250</v>
      </c>
      <c r="BE17" s="6">
        <v>1280</v>
      </c>
      <c r="BF17" s="6">
        <v>1089043715</v>
      </c>
      <c r="BG17" s="6">
        <f t="shared" si="58"/>
        <v>9296</v>
      </c>
      <c r="BH17" s="6">
        <f t="shared" si="42"/>
        <v>9443290055</v>
      </c>
      <c r="BI17" s="6">
        <v>4905</v>
      </c>
      <c r="BJ17" s="6">
        <v>5632745417</v>
      </c>
      <c r="BK17" s="6">
        <v>4391</v>
      </c>
      <c r="BL17" s="6">
        <v>3810544638</v>
      </c>
      <c r="BM17" s="6">
        <f t="shared" si="59"/>
        <v>4904</v>
      </c>
      <c r="BN17" s="6">
        <f t="shared" si="43"/>
        <v>4801681638</v>
      </c>
      <c r="BO17" s="6">
        <v>2793</v>
      </c>
      <c r="BP17" s="6">
        <v>3149948403</v>
      </c>
      <c r="BQ17" s="6">
        <v>2111</v>
      </c>
      <c r="BR17" s="6">
        <v>1651733235</v>
      </c>
      <c r="BS17" s="3" t="s">
        <v>30</v>
      </c>
      <c r="BT17" s="6">
        <v>0</v>
      </c>
      <c r="BU17" s="6">
        <v>0</v>
      </c>
      <c r="BV17" s="6">
        <v>0</v>
      </c>
      <c r="BW17" s="6">
        <v>0</v>
      </c>
      <c r="BX17" s="6">
        <v>0</v>
      </c>
      <c r="BY17" s="6">
        <v>0</v>
      </c>
      <c r="BZ17" s="6">
        <v>0</v>
      </c>
      <c r="CA17" s="6">
        <v>0</v>
      </c>
    </row>
    <row r="18" spans="1:79" ht="24" customHeight="1">
      <c r="A18" s="206"/>
      <c r="B18" s="208"/>
      <c r="C18" s="3" t="s">
        <v>31</v>
      </c>
      <c r="D18" s="45">
        <f t="shared" si="9"/>
        <v>1122656.0397532557</v>
      </c>
      <c r="E18" s="45">
        <f t="shared" si="10"/>
        <v>966702.51712779969</v>
      </c>
      <c r="F18" s="26">
        <f t="shared" si="11"/>
        <v>1087229.3142302088</v>
      </c>
      <c r="G18" s="26">
        <f t="shared" si="12"/>
        <v>878534.55268490373</v>
      </c>
      <c r="H18" s="45">
        <f t="shared" si="13"/>
        <v>1130585.9886571532</v>
      </c>
      <c r="I18" s="45">
        <f t="shared" si="14"/>
        <v>874744.29569046875</v>
      </c>
      <c r="J18" s="26">
        <f t="shared" si="15"/>
        <v>1184749.5298581326</v>
      </c>
      <c r="K18" s="27">
        <f t="shared" si="16"/>
        <v>835909.82997946616</v>
      </c>
      <c r="O18" s="214"/>
      <c r="P18" s="3" t="s">
        <v>31</v>
      </c>
      <c r="Q18" s="8">
        <f t="shared" si="17"/>
        <v>1043133.887470608</v>
      </c>
      <c r="R18" s="6">
        <f t="shared" si="44"/>
        <v>2977</v>
      </c>
      <c r="S18" s="6">
        <f t="shared" si="30"/>
        <v>3105409583</v>
      </c>
      <c r="T18" s="6">
        <f t="shared" si="45"/>
        <v>1459</v>
      </c>
      <c r="U18" s="6">
        <f t="shared" si="46"/>
        <v>1637955162</v>
      </c>
      <c r="V18" s="6">
        <f t="shared" si="47"/>
        <v>1518</v>
      </c>
      <c r="W18" s="6">
        <f t="shared" si="48"/>
        <v>1467454421</v>
      </c>
      <c r="X18" s="8">
        <f t="shared" si="19"/>
        <v>985081.17158442852</v>
      </c>
      <c r="Y18" s="6">
        <f t="shared" si="49"/>
        <v>4033</v>
      </c>
      <c r="Z18" s="6">
        <f t="shared" si="31"/>
        <v>3972832365</v>
      </c>
      <c r="AA18" s="6">
        <f t="shared" si="50"/>
        <v>2059</v>
      </c>
      <c r="AB18" s="6">
        <f t="shared" si="32"/>
        <v>2238605158</v>
      </c>
      <c r="AC18" s="6">
        <f t="shared" si="50"/>
        <v>1974</v>
      </c>
      <c r="AD18" s="6">
        <f t="shared" si="33"/>
        <v>1734227207</v>
      </c>
      <c r="AE18" s="8">
        <f t="shared" si="21"/>
        <v>993014.82121109613</v>
      </c>
      <c r="AF18" s="6">
        <f t="shared" si="51"/>
        <v>11824</v>
      </c>
      <c r="AG18" s="6">
        <f t="shared" si="34"/>
        <v>11741407246</v>
      </c>
      <c r="AH18" s="6">
        <f t="shared" si="52"/>
        <v>5466</v>
      </c>
      <c r="AI18" s="6">
        <f t="shared" si="35"/>
        <v>6179783014</v>
      </c>
      <c r="AJ18" s="6">
        <f t="shared" si="53"/>
        <v>6358</v>
      </c>
      <c r="AK18" s="6">
        <f t="shared" si="36"/>
        <v>5561624232</v>
      </c>
      <c r="AL18" s="8">
        <f t="shared" si="23"/>
        <v>1029348.0170142701</v>
      </c>
      <c r="AM18" s="6">
        <f t="shared" si="54"/>
        <v>5466</v>
      </c>
      <c r="AN18" s="6">
        <f t="shared" si="37"/>
        <v>5626416261</v>
      </c>
      <c r="AO18" s="6">
        <f t="shared" si="55"/>
        <v>3031</v>
      </c>
      <c r="AP18" s="6">
        <f t="shared" si="38"/>
        <v>3590975825</v>
      </c>
      <c r="AQ18" s="6">
        <f t="shared" si="55"/>
        <v>2435</v>
      </c>
      <c r="AR18" s="6">
        <f t="shared" si="39"/>
        <v>2035440436</v>
      </c>
      <c r="AT18" s="3" t="s">
        <v>31</v>
      </c>
      <c r="AU18" s="6">
        <f t="shared" si="56"/>
        <v>2977</v>
      </c>
      <c r="AV18" s="6">
        <f t="shared" si="40"/>
        <v>3105409583</v>
      </c>
      <c r="AW18" s="6">
        <v>1459</v>
      </c>
      <c r="AX18" s="6">
        <v>1637955162</v>
      </c>
      <c r="AY18" s="6">
        <v>1518</v>
      </c>
      <c r="AZ18" s="6">
        <v>1467454421</v>
      </c>
      <c r="BA18" s="6">
        <f t="shared" si="57"/>
        <v>4033</v>
      </c>
      <c r="BB18" s="6">
        <f t="shared" si="41"/>
        <v>3972832365</v>
      </c>
      <c r="BC18" s="6">
        <v>2059</v>
      </c>
      <c r="BD18" s="6">
        <v>2238605158</v>
      </c>
      <c r="BE18" s="6">
        <v>1974</v>
      </c>
      <c r="BF18" s="6">
        <v>1734227207</v>
      </c>
      <c r="BG18" s="6">
        <f t="shared" si="58"/>
        <v>11824</v>
      </c>
      <c r="BH18" s="6">
        <f t="shared" si="42"/>
        <v>11741407246</v>
      </c>
      <c r="BI18" s="6">
        <v>5466</v>
      </c>
      <c r="BJ18" s="6">
        <v>6179783014</v>
      </c>
      <c r="BK18" s="6">
        <v>6358</v>
      </c>
      <c r="BL18" s="6">
        <v>5561624232</v>
      </c>
      <c r="BM18" s="6">
        <f t="shared" si="59"/>
        <v>5466</v>
      </c>
      <c r="BN18" s="6">
        <f t="shared" si="43"/>
        <v>5626416261</v>
      </c>
      <c r="BO18" s="6">
        <v>3031</v>
      </c>
      <c r="BP18" s="6">
        <v>3590975825</v>
      </c>
      <c r="BQ18" s="6">
        <v>2435</v>
      </c>
      <c r="BR18" s="6">
        <v>2035440436</v>
      </c>
      <c r="BS18" s="3" t="s">
        <v>31</v>
      </c>
      <c r="BT18" s="6">
        <v>0</v>
      </c>
      <c r="BU18" s="6">
        <v>0</v>
      </c>
      <c r="BV18" s="6">
        <v>0</v>
      </c>
      <c r="BW18" s="6">
        <v>0</v>
      </c>
      <c r="BX18" s="6">
        <v>0</v>
      </c>
      <c r="BY18" s="6">
        <v>0</v>
      </c>
      <c r="BZ18" s="6">
        <v>0</v>
      </c>
      <c r="CA18" s="6">
        <v>0</v>
      </c>
    </row>
    <row r="19" spans="1:79" ht="24" customHeight="1">
      <c r="A19" s="206"/>
      <c r="B19" s="208"/>
      <c r="C19" s="3" t="s">
        <v>32</v>
      </c>
      <c r="D19" s="45">
        <f t="shared" si="9"/>
        <v>1034434.1427125506</v>
      </c>
      <c r="E19" s="45">
        <f t="shared" si="10"/>
        <v>827585.99017199012</v>
      </c>
      <c r="F19" s="26">
        <f t="shared" si="11"/>
        <v>973233.75683890574</v>
      </c>
      <c r="G19" s="26">
        <f t="shared" si="12"/>
        <v>773174.71235721698</v>
      </c>
      <c r="H19" s="45">
        <f t="shared" si="13"/>
        <v>1042828.7691865478</v>
      </c>
      <c r="I19" s="45">
        <f t="shared" si="14"/>
        <v>795519.63141891896</v>
      </c>
      <c r="J19" s="26">
        <f t="shared" si="15"/>
        <v>1026098.8302967205</v>
      </c>
      <c r="K19" s="27">
        <f t="shared" si="16"/>
        <v>710552.86705624545</v>
      </c>
      <c r="O19" s="214"/>
      <c r="P19" s="3" t="s">
        <v>32</v>
      </c>
      <c r="Q19" s="8">
        <f t="shared" si="17"/>
        <v>940996.63096559374</v>
      </c>
      <c r="R19" s="6">
        <f t="shared" si="44"/>
        <v>1802</v>
      </c>
      <c r="S19" s="6">
        <f t="shared" si="30"/>
        <v>1695675929</v>
      </c>
      <c r="T19" s="6">
        <f t="shared" si="45"/>
        <v>988</v>
      </c>
      <c r="U19" s="6">
        <f t="shared" si="46"/>
        <v>1022020933</v>
      </c>
      <c r="V19" s="6">
        <f t="shared" si="47"/>
        <v>814</v>
      </c>
      <c r="W19" s="6">
        <f t="shared" si="48"/>
        <v>673654996</v>
      </c>
      <c r="X19" s="8">
        <f t="shared" si="19"/>
        <v>888698.05704256252</v>
      </c>
      <c r="Y19" s="6">
        <f t="shared" si="49"/>
        <v>2279</v>
      </c>
      <c r="Z19" s="6">
        <f t="shared" si="31"/>
        <v>2025342872</v>
      </c>
      <c r="AA19" s="6">
        <f t="shared" si="50"/>
        <v>1316</v>
      </c>
      <c r="AB19" s="6">
        <f t="shared" si="32"/>
        <v>1280775624</v>
      </c>
      <c r="AC19" s="6">
        <f t="shared" si="50"/>
        <v>963</v>
      </c>
      <c r="AD19" s="6">
        <f t="shared" si="33"/>
        <v>744567248</v>
      </c>
      <c r="AE19" s="8">
        <f t="shared" si="21"/>
        <v>929141.07734120206</v>
      </c>
      <c r="AF19" s="6">
        <f t="shared" si="51"/>
        <v>6439</v>
      </c>
      <c r="AG19" s="6">
        <f t="shared" si="34"/>
        <v>5982739397</v>
      </c>
      <c r="AH19" s="6">
        <f t="shared" si="52"/>
        <v>3479</v>
      </c>
      <c r="AI19" s="6">
        <f t="shared" si="35"/>
        <v>3628001288</v>
      </c>
      <c r="AJ19" s="6">
        <f t="shared" si="53"/>
        <v>2960</v>
      </c>
      <c r="AK19" s="6">
        <f t="shared" si="36"/>
        <v>2354738109</v>
      </c>
      <c r="AL19" s="8">
        <f t="shared" si="23"/>
        <v>894797.1817629179</v>
      </c>
      <c r="AM19" s="6">
        <f t="shared" si="54"/>
        <v>3290</v>
      </c>
      <c r="AN19" s="6">
        <f t="shared" si="37"/>
        <v>2943882728</v>
      </c>
      <c r="AO19" s="6">
        <f t="shared" si="55"/>
        <v>1921</v>
      </c>
      <c r="AP19" s="6">
        <f t="shared" si="38"/>
        <v>1971135853</v>
      </c>
      <c r="AQ19" s="6">
        <f t="shared" si="55"/>
        <v>1369</v>
      </c>
      <c r="AR19" s="6">
        <f t="shared" si="39"/>
        <v>972746875</v>
      </c>
      <c r="AT19" s="3" t="s">
        <v>32</v>
      </c>
      <c r="AU19" s="6">
        <f t="shared" si="56"/>
        <v>1802</v>
      </c>
      <c r="AV19" s="6">
        <f t="shared" si="40"/>
        <v>1695675929</v>
      </c>
      <c r="AW19" s="6">
        <v>988</v>
      </c>
      <c r="AX19" s="6">
        <v>1022020933</v>
      </c>
      <c r="AY19" s="6">
        <v>814</v>
      </c>
      <c r="AZ19" s="6">
        <v>673654996</v>
      </c>
      <c r="BA19" s="6">
        <f t="shared" si="57"/>
        <v>2279</v>
      </c>
      <c r="BB19" s="6">
        <f t="shared" si="41"/>
        <v>2025342872</v>
      </c>
      <c r="BC19" s="6">
        <v>1316</v>
      </c>
      <c r="BD19" s="6">
        <v>1280775624</v>
      </c>
      <c r="BE19" s="6">
        <v>963</v>
      </c>
      <c r="BF19" s="6">
        <v>744567248</v>
      </c>
      <c r="BG19" s="6">
        <f t="shared" si="58"/>
        <v>6439</v>
      </c>
      <c r="BH19" s="6">
        <f t="shared" si="42"/>
        <v>5982739397</v>
      </c>
      <c r="BI19" s="6">
        <v>3479</v>
      </c>
      <c r="BJ19" s="6">
        <v>3628001288</v>
      </c>
      <c r="BK19" s="6">
        <v>2960</v>
      </c>
      <c r="BL19" s="6">
        <v>2354738109</v>
      </c>
      <c r="BM19" s="6">
        <f t="shared" si="59"/>
        <v>3290</v>
      </c>
      <c r="BN19" s="6">
        <f t="shared" si="43"/>
        <v>2943882728</v>
      </c>
      <c r="BO19" s="6">
        <v>1921</v>
      </c>
      <c r="BP19" s="6">
        <v>1971135853</v>
      </c>
      <c r="BQ19" s="6">
        <v>1369</v>
      </c>
      <c r="BR19" s="6">
        <v>972746875</v>
      </c>
      <c r="BS19" s="3" t="s">
        <v>32</v>
      </c>
      <c r="BT19" s="6">
        <v>0</v>
      </c>
      <c r="BU19" s="6">
        <v>0</v>
      </c>
      <c r="BV19" s="6">
        <v>0</v>
      </c>
      <c r="BW19" s="6">
        <v>0</v>
      </c>
      <c r="BX19" s="6">
        <v>0</v>
      </c>
      <c r="BY19" s="6">
        <v>0</v>
      </c>
      <c r="BZ19" s="6">
        <v>0</v>
      </c>
      <c r="CA19" s="6">
        <v>0</v>
      </c>
    </row>
    <row r="20" spans="1:79" ht="24" customHeight="1">
      <c r="A20" s="206"/>
      <c r="B20" s="208"/>
      <c r="C20" s="3" t="s">
        <v>33</v>
      </c>
      <c r="D20" s="45">
        <f t="shared" si="9"/>
        <v>1051971.8231046931</v>
      </c>
      <c r="E20" s="45">
        <f t="shared" si="10"/>
        <v>859673.06632653065</v>
      </c>
      <c r="F20" s="26">
        <f t="shared" si="11"/>
        <v>877094.22600619192</v>
      </c>
      <c r="G20" s="26">
        <f t="shared" si="12"/>
        <v>742577.04716981133</v>
      </c>
      <c r="H20" s="45">
        <f t="shared" si="13"/>
        <v>980136.96940194711</v>
      </c>
      <c r="I20" s="45">
        <f t="shared" si="14"/>
        <v>772084.00163132139</v>
      </c>
      <c r="J20" s="26">
        <f t="shared" si="15"/>
        <v>1013452.1273100616</v>
      </c>
      <c r="K20" s="27">
        <f t="shared" si="16"/>
        <v>685348.46927374299</v>
      </c>
      <c r="O20" s="214"/>
      <c r="P20" s="3" t="s">
        <v>33</v>
      </c>
      <c r="Q20" s="8">
        <f t="shared" si="17"/>
        <v>972287.77167019027</v>
      </c>
      <c r="R20" s="6">
        <f t="shared" si="44"/>
        <v>473</v>
      </c>
      <c r="S20" s="6">
        <f t="shared" si="30"/>
        <v>459892116</v>
      </c>
      <c r="T20" s="6">
        <f t="shared" si="45"/>
        <v>277</v>
      </c>
      <c r="U20" s="6">
        <f t="shared" si="46"/>
        <v>291396195</v>
      </c>
      <c r="V20" s="6">
        <f t="shared" si="47"/>
        <v>196</v>
      </c>
      <c r="W20" s="6">
        <f t="shared" si="48"/>
        <v>168495921</v>
      </c>
      <c r="X20" s="8">
        <f t="shared" si="19"/>
        <v>823790.2224299066</v>
      </c>
      <c r="Y20" s="6">
        <f t="shared" si="49"/>
        <v>535</v>
      </c>
      <c r="Z20" s="6">
        <f t="shared" si="31"/>
        <v>440727769</v>
      </c>
      <c r="AA20" s="6">
        <f t="shared" si="50"/>
        <v>323</v>
      </c>
      <c r="AB20" s="6">
        <f t="shared" si="32"/>
        <v>283301435</v>
      </c>
      <c r="AC20" s="6">
        <f t="shared" si="50"/>
        <v>212</v>
      </c>
      <c r="AD20" s="6">
        <f t="shared" si="33"/>
        <v>157426334</v>
      </c>
      <c r="AE20" s="8">
        <f t="shared" si="21"/>
        <v>884388.86936936935</v>
      </c>
      <c r="AF20" s="6">
        <f t="shared" si="51"/>
        <v>1332</v>
      </c>
      <c r="AG20" s="6">
        <f t="shared" si="34"/>
        <v>1178005974</v>
      </c>
      <c r="AH20" s="6">
        <f t="shared" si="52"/>
        <v>719</v>
      </c>
      <c r="AI20" s="6">
        <f t="shared" si="35"/>
        <v>704718481</v>
      </c>
      <c r="AJ20" s="6">
        <f t="shared" si="53"/>
        <v>613</v>
      </c>
      <c r="AK20" s="6">
        <f t="shared" si="36"/>
        <v>473287493</v>
      </c>
      <c r="AL20" s="8">
        <f t="shared" si="23"/>
        <v>874444.8970414201</v>
      </c>
      <c r="AM20" s="6">
        <f t="shared" si="54"/>
        <v>845</v>
      </c>
      <c r="AN20" s="6">
        <f t="shared" si="37"/>
        <v>738905938</v>
      </c>
      <c r="AO20" s="6">
        <f t="shared" si="55"/>
        <v>487</v>
      </c>
      <c r="AP20" s="6">
        <f t="shared" si="38"/>
        <v>493551186</v>
      </c>
      <c r="AQ20" s="6">
        <f t="shared" si="55"/>
        <v>358</v>
      </c>
      <c r="AR20" s="6">
        <f t="shared" si="39"/>
        <v>245354752</v>
      </c>
      <c r="AT20" s="3" t="s">
        <v>33</v>
      </c>
      <c r="AU20" s="6">
        <f t="shared" si="56"/>
        <v>473</v>
      </c>
      <c r="AV20" s="6">
        <f t="shared" si="40"/>
        <v>459892116</v>
      </c>
      <c r="AW20" s="6">
        <v>277</v>
      </c>
      <c r="AX20" s="6">
        <v>291396195</v>
      </c>
      <c r="AY20" s="6">
        <v>196</v>
      </c>
      <c r="AZ20" s="6">
        <v>168495921</v>
      </c>
      <c r="BA20" s="6">
        <f t="shared" si="57"/>
        <v>535</v>
      </c>
      <c r="BB20" s="6">
        <f t="shared" si="41"/>
        <v>440727769</v>
      </c>
      <c r="BC20" s="6">
        <v>323</v>
      </c>
      <c r="BD20" s="6">
        <v>283301435</v>
      </c>
      <c r="BE20" s="6">
        <v>212</v>
      </c>
      <c r="BF20" s="6">
        <v>157426334</v>
      </c>
      <c r="BG20" s="6">
        <f t="shared" si="58"/>
        <v>1332</v>
      </c>
      <c r="BH20" s="6">
        <f t="shared" si="42"/>
        <v>1178005974</v>
      </c>
      <c r="BI20" s="6">
        <v>719</v>
      </c>
      <c r="BJ20" s="6">
        <v>704718481</v>
      </c>
      <c r="BK20" s="6">
        <v>613</v>
      </c>
      <c r="BL20" s="6">
        <v>473287493</v>
      </c>
      <c r="BM20" s="6">
        <f t="shared" si="59"/>
        <v>845</v>
      </c>
      <c r="BN20" s="6">
        <f t="shared" si="43"/>
        <v>738905938</v>
      </c>
      <c r="BO20" s="6">
        <v>487</v>
      </c>
      <c r="BP20" s="6">
        <v>493551186</v>
      </c>
      <c r="BQ20" s="6">
        <v>358</v>
      </c>
      <c r="BR20" s="6">
        <v>245354752</v>
      </c>
      <c r="BS20" s="3" t="s">
        <v>33</v>
      </c>
      <c r="BT20" s="6">
        <v>0</v>
      </c>
      <c r="BU20" s="6">
        <v>0</v>
      </c>
      <c r="BV20" s="6">
        <v>0</v>
      </c>
      <c r="BW20" s="6">
        <v>0</v>
      </c>
      <c r="BX20" s="6">
        <v>0</v>
      </c>
      <c r="BY20" s="6">
        <v>0</v>
      </c>
      <c r="BZ20" s="6">
        <v>0</v>
      </c>
      <c r="CA20" s="6">
        <v>0</v>
      </c>
    </row>
    <row r="21" spans="1:79" ht="24" customHeight="1">
      <c r="A21" s="206"/>
      <c r="B21" s="208"/>
      <c r="C21" s="3" t="s">
        <v>34</v>
      </c>
      <c r="D21" s="45">
        <f t="shared" si="9"/>
        <v>987406.62807017541</v>
      </c>
      <c r="E21" s="45">
        <f t="shared" si="10"/>
        <v>954829.21969696973</v>
      </c>
      <c r="F21" s="26">
        <f t="shared" si="11"/>
        <v>990371.95175438595</v>
      </c>
      <c r="G21" s="26">
        <f t="shared" si="12"/>
        <v>864410.9405144694</v>
      </c>
      <c r="H21" s="45">
        <f t="shared" si="13"/>
        <v>1136760.7112638815</v>
      </c>
      <c r="I21" s="45">
        <f t="shared" si="14"/>
        <v>989038.2511373976</v>
      </c>
      <c r="J21" s="26">
        <f t="shared" si="15"/>
        <v>1140114.444846293</v>
      </c>
      <c r="K21" s="27">
        <f t="shared" si="16"/>
        <v>856545.87375745527</v>
      </c>
      <c r="O21" s="214"/>
      <c r="P21" s="3" t="s">
        <v>34</v>
      </c>
      <c r="Q21" s="8">
        <f t="shared" si="17"/>
        <v>971740.9890710382</v>
      </c>
      <c r="R21" s="6">
        <f t="shared" si="44"/>
        <v>1098</v>
      </c>
      <c r="S21" s="6">
        <f t="shared" si="30"/>
        <v>1066971606</v>
      </c>
      <c r="T21" s="6">
        <f t="shared" si="45"/>
        <v>570</v>
      </c>
      <c r="U21" s="6">
        <f t="shared" si="46"/>
        <v>562821778</v>
      </c>
      <c r="V21" s="6">
        <f t="shared" si="47"/>
        <v>528</v>
      </c>
      <c r="W21" s="6">
        <f t="shared" si="48"/>
        <v>504149828</v>
      </c>
      <c r="X21" s="8">
        <f t="shared" si="19"/>
        <v>930381.33231240429</v>
      </c>
      <c r="Y21" s="6">
        <f t="shared" si="49"/>
        <v>1306</v>
      </c>
      <c r="Z21" s="6">
        <f t="shared" si="31"/>
        <v>1215078020</v>
      </c>
      <c r="AA21" s="6">
        <f t="shared" si="50"/>
        <v>684</v>
      </c>
      <c r="AB21" s="6">
        <f t="shared" si="32"/>
        <v>677414415</v>
      </c>
      <c r="AC21" s="6">
        <f t="shared" si="50"/>
        <v>622</v>
      </c>
      <c r="AD21" s="6">
        <f t="shared" si="33"/>
        <v>537663605</v>
      </c>
      <c r="AE21" s="8">
        <f t="shared" si="21"/>
        <v>1057354.0183418929</v>
      </c>
      <c r="AF21" s="6">
        <f t="shared" si="51"/>
        <v>4089</v>
      </c>
      <c r="AG21" s="6">
        <f t="shared" si="34"/>
        <v>4323520581</v>
      </c>
      <c r="AH21" s="6">
        <f t="shared" si="52"/>
        <v>1891</v>
      </c>
      <c r="AI21" s="6">
        <f t="shared" si="35"/>
        <v>2149614505</v>
      </c>
      <c r="AJ21" s="6">
        <f t="shared" si="53"/>
        <v>2198</v>
      </c>
      <c r="AK21" s="6">
        <f t="shared" si="36"/>
        <v>2173906076</v>
      </c>
      <c r="AL21" s="8">
        <f t="shared" si="23"/>
        <v>1005043.4303977273</v>
      </c>
      <c r="AM21" s="6">
        <f t="shared" si="54"/>
        <v>2112</v>
      </c>
      <c r="AN21" s="6">
        <f t="shared" si="37"/>
        <v>2122651725</v>
      </c>
      <c r="AO21" s="6">
        <f t="shared" si="55"/>
        <v>1106</v>
      </c>
      <c r="AP21" s="6">
        <f t="shared" si="38"/>
        <v>1260966576</v>
      </c>
      <c r="AQ21" s="6">
        <f t="shared" si="55"/>
        <v>1006</v>
      </c>
      <c r="AR21" s="6">
        <f t="shared" si="39"/>
        <v>861685149</v>
      </c>
      <c r="AT21" s="3" t="s">
        <v>34</v>
      </c>
      <c r="AU21" s="6">
        <f t="shared" si="56"/>
        <v>1098</v>
      </c>
      <c r="AV21" s="6">
        <f t="shared" si="40"/>
        <v>1066971606</v>
      </c>
      <c r="AW21" s="6">
        <v>570</v>
      </c>
      <c r="AX21" s="6">
        <v>562821778</v>
      </c>
      <c r="AY21" s="6">
        <v>528</v>
      </c>
      <c r="AZ21" s="6">
        <v>504149828</v>
      </c>
      <c r="BA21" s="6">
        <f t="shared" si="57"/>
        <v>1306</v>
      </c>
      <c r="BB21" s="6">
        <f t="shared" si="41"/>
        <v>1215078020</v>
      </c>
      <c r="BC21" s="6">
        <v>684</v>
      </c>
      <c r="BD21" s="6">
        <v>677414415</v>
      </c>
      <c r="BE21" s="6">
        <v>622</v>
      </c>
      <c r="BF21" s="6">
        <v>537663605</v>
      </c>
      <c r="BG21" s="6">
        <f t="shared" si="58"/>
        <v>4089</v>
      </c>
      <c r="BH21" s="6">
        <f t="shared" si="42"/>
        <v>4323520581</v>
      </c>
      <c r="BI21" s="6">
        <v>1891</v>
      </c>
      <c r="BJ21" s="6">
        <v>2149614505</v>
      </c>
      <c r="BK21" s="6">
        <v>2198</v>
      </c>
      <c r="BL21" s="6">
        <v>2173906076</v>
      </c>
      <c r="BM21" s="6">
        <f t="shared" si="59"/>
        <v>2112</v>
      </c>
      <c r="BN21" s="6">
        <f t="shared" si="43"/>
        <v>2122651725</v>
      </c>
      <c r="BO21" s="6">
        <v>1106</v>
      </c>
      <c r="BP21" s="6">
        <v>1260966576</v>
      </c>
      <c r="BQ21" s="6">
        <v>1006</v>
      </c>
      <c r="BR21" s="6">
        <v>861685149</v>
      </c>
      <c r="BS21" s="3" t="s">
        <v>34</v>
      </c>
      <c r="BT21" s="6">
        <v>0</v>
      </c>
      <c r="BU21" s="6">
        <v>0</v>
      </c>
      <c r="BV21" s="6">
        <v>0</v>
      </c>
      <c r="BW21" s="6">
        <v>0</v>
      </c>
      <c r="BX21" s="6">
        <v>0</v>
      </c>
      <c r="BY21" s="6">
        <v>0</v>
      </c>
      <c r="BZ21" s="6">
        <v>0</v>
      </c>
      <c r="CA21" s="6">
        <v>0</v>
      </c>
    </row>
    <row r="22" spans="1:79" ht="24" customHeight="1">
      <c r="A22" s="206"/>
      <c r="B22" s="208"/>
      <c r="C22" s="3" t="s">
        <v>35</v>
      </c>
      <c r="D22" s="45">
        <f t="shared" si="9"/>
        <v>1006408.7710843374</v>
      </c>
      <c r="E22" s="45">
        <f t="shared" si="10"/>
        <v>856771.08333333337</v>
      </c>
      <c r="F22" s="26">
        <f t="shared" si="11"/>
        <v>936147.75144508667</v>
      </c>
      <c r="G22" s="26">
        <f t="shared" si="12"/>
        <v>789906.829059829</v>
      </c>
      <c r="H22" s="45">
        <f t="shared" si="13"/>
        <v>1231894.9860869565</v>
      </c>
      <c r="I22" s="45">
        <f t="shared" si="14"/>
        <v>899777.47037701972</v>
      </c>
      <c r="J22" s="26">
        <f t="shared" si="15"/>
        <v>1276343.6480686695</v>
      </c>
      <c r="K22" s="27">
        <f t="shared" si="16"/>
        <v>983343.04021447722</v>
      </c>
      <c r="O22" s="214"/>
      <c r="P22" s="3" t="s">
        <v>35</v>
      </c>
      <c r="Q22" s="8">
        <f t="shared" si="17"/>
        <v>947427.49270072998</v>
      </c>
      <c r="R22" s="6">
        <f t="shared" si="44"/>
        <v>274</v>
      </c>
      <c r="S22" s="6">
        <f t="shared" si="30"/>
        <v>259595133</v>
      </c>
      <c r="T22" s="6">
        <f t="shared" si="45"/>
        <v>166</v>
      </c>
      <c r="U22" s="6">
        <f t="shared" si="46"/>
        <v>167063856</v>
      </c>
      <c r="V22" s="6">
        <f t="shared" si="47"/>
        <v>108</v>
      </c>
      <c r="W22" s="6">
        <f t="shared" si="48"/>
        <v>92531277</v>
      </c>
      <c r="X22" s="8">
        <f t="shared" si="19"/>
        <v>877147.10344827583</v>
      </c>
      <c r="Y22" s="6">
        <f t="shared" si="49"/>
        <v>290</v>
      </c>
      <c r="Z22" s="6">
        <f t="shared" si="31"/>
        <v>254372660</v>
      </c>
      <c r="AA22" s="6">
        <f t="shared" si="50"/>
        <v>173</v>
      </c>
      <c r="AB22" s="6">
        <f t="shared" si="32"/>
        <v>161953561</v>
      </c>
      <c r="AC22" s="6">
        <f t="shared" si="50"/>
        <v>117</v>
      </c>
      <c r="AD22" s="6">
        <f t="shared" si="33"/>
        <v>92419099</v>
      </c>
      <c r="AE22" s="8">
        <f t="shared" si="21"/>
        <v>1068476.7385159011</v>
      </c>
      <c r="AF22" s="6">
        <f t="shared" si="51"/>
        <v>1132</v>
      </c>
      <c r="AG22" s="6">
        <f t="shared" si="34"/>
        <v>1209515668</v>
      </c>
      <c r="AH22" s="6">
        <f t="shared" si="52"/>
        <v>575</v>
      </c>
      <c r="AI22" s="6">
        <f t="shared" si="35"/>
        <v>708339617</v>
      </c>
      <c r="AJ22" s="6">
        <f t="shared" si="53"/>
        <v>557</v>
      </c>
      <c r="AK22" s="6">
        <f t="shared" si="36"/>
        <v>501176051</v>
      </c>
      <c r="AL22" s="8">
        <f t="shared" si="23"/>
        <v>1146082.3528009534</v>
      </c>
      <c r="AM22" s="6">
        <f t="shared" si="54"/>
        <v>839</v>
      </c>
      <c r="AN22" s="6">
        <f t="shared" si="37"/>
        <v>961563094</v>
      </c>
      <c r="AO22" s="6">
        <f t="shared" si="55"/>
        <v>466</v>
      </c>
      <c r="AP22" s="6">
        <f t="shared" si="38"/>
        <v>594776140</v>
      </c>
      <c r="AQ22" s="6">
        <f t="shared" si="55"/>
        <v>373</v>
      </c>
      <c r="AR22" s="6">
        <f t="shared" si="39"/>
        <v>366786954</v>
      </c>
      <c r="AT22" s="3" t="s">
        <v>35</v>
      </c>
      <c r="AU22" s="6">
        <f t="shared" si="56"/>
        <v>274</v>
      </c>
      <c r="AV22" s="6">
        <f t="shared" si="40"/>
        <v>259595133</v>
      </c>
      <c r="AW22" s="6">
        <v>166</v>
      </c>
      <c r="AX22" s="6">
        <v>167063856</v>
      </c>
      <c r="AY22" s="6">
        <v>108</v>
      </c>
      <c r="AZ22" s="6">
        <v>92531277</v>
      </c>
      <c r="BA22" s="6">
        <f t="shared" si="57"/>
        <v>290</v>
      </c>
      <c r="BB22" s="6">
        <f t="shared" si="41"/>
        <v>254372660</v>
      </c>
      <c r="BC22" s="6">
        <v>173</v>
      </c>
      <c r="BD22" s="6">
        <v>161953561</v>
      </c>
      <c r="BE22" s="6">
        <v>117</v>
      </c>
      <c r="BF22" s="6">
        <v>92419099</v>
      </c>
      <c r="BG22" s="6">
        <f t="shared" si="58"/>
        <v>1132</v>
      </c>
      <c r="BH22" s="6">
        <f t="shared" si="42"/>
        <v>1209515668</v>
      </c>
      <c r="BI22" s="6">
        <v>575</v>
      </c>
      <c r="BJ22" s="6">
        <v>708339617</v>
      </c>
      <c r="BK22" s="6">
        <v>557</v>
      </c>
      <c r="BL22" s="6">
        <v>501176051</v>
      </c>
      <c r="BM22" s="6">
        <f t="shared" si="59"/>
        <v>839</v>
      </c>
      <c r="BN22" s="6">
        <f t="shared" si="43"/>
        <v>961563094</v>
      </c>
      <c r="BO22" s="6">
        <v>466</v>
      </c>
      <c r="BP22" s="6">
        <v>594776140</v>
      </c>
      <c r="BQ22" s="6">
        <v>373</v>
      </c>
      <c r="BR22" s="6">
        <v>366786954</v>
      </c>
      <c r="BS22" s="3" t="s">
        <v>35</v>
      </c>
      <c r="BT22" s="6">
        <v>0</v>
      </c>
      <c r="BU22" s="6">
        <v>0</v>
      </c>
      <c r="BV22" s="6">
        <v>0</v>
      </c>
      <c r="BW22" s="6">
        <v>0</v>
      </c>
      <c r="BX22" s="6">
        <v>0</v>
      </c>
      <c r="BY22" s="6">
        <v>0</v>
      </c>
      <c r="BZ22" s="6">
        <v>0</v>
      </c>
      <c r="CA22" s="6">
        <v>0</v>
      </c>
    </row>
    <row r="23" spans="1:79" ht="24" customHeight="1">
      <c r="A23" s="206"/>
      <c r="B23" s="208"/>
      <c r="C23" s="3" t="s">
        <v>36</v>
      </c>
      <c r="D23" s="45">
        <f t="shared" si="9"/>
        <v>1248728.5964523281</v>
      </c>
      <c r="E23" s="45">
        <f t="shared" si="10"/>
        <v>1176192.771221532</v>
      </c>
      <c r="F23" s="26">
        <f t="shared" si="11"/>
        <v>1152908.5750988142</v>
      </c>
      <c r="G23" s="26">
        <f t="shared" si="12"/>
        <v>1093996.4884341636</v>
      </c>
      <c r="H23" s="45">
        <f t="shared" si="13"/>
        <v>1347396.4047490556</v>
      </c>
      <c r="I23" s="45">
        <f t="shared" si="14"/>
        <v>1190053.6914929389</v>
      </c>
      <c r="J23" s="26">
        <f t="shared" si="15"/>
        <v>1348990.4818428184</v>
      </c>
      <c r="K23" s="27">
        <f t="shared" si="16"/>
        <v>1104131.9029957205</v>
      </c>
      <c r="O23" s="214"/>
      <c r="P23" s="3" t="s">
        <v>36</v>
      </c>
      <c r="Q23" s="8">
        <f t="shared" si="17"/>
        <v>1211218.1001070663</v>
      </c>
      <c r="R23" s="6">
        <f t="shared" si="44"/>
        <v>1868</v>
      </c>
      <c r="S23" s="6">
        <f t="shared" si="30"/>
        <v>2262555411</v>
      </c>
      <c r="T23" s="6">
        <f t="shared" si="45"/>
        <v>902</v>
      </c>
      <c r="U23" s="6">
        <f t="shared" si="46"/>
        <v>1126353194</v>
      </c>
      <c r="V23" s="6">
        <f t="shared" si="47"/>
        <v>966</v>
      </c>
      <c r="W23" s="6">
        <f t="shared" si="48"/>
        <v>1136202217</v>
      </c>
      <c r="X23" s="8">
        <f t="shared" si="19"/>
        <v>1121908.0201310862</v>
      </c>
      <c r="Y23" s="6">
        <f t="shared" si="49"/>
        <v>2136</v>
      </c>
      <c r="Z23" s="6">
        <f t="shared" si="31"/>
        <v>2396395531</v>
      </c>
      <c r="AA23" s="6">
        <f t="shared" si="50"/>
        <v>1012</v>
      </c>
      <c r="AB23" s="6">
        <f t="shared" si="32"/>
        <v>1166743478</v>
      </c>
      <c r="AC23" s="6">
        <f t="shared" si="50"/>
        <v>1124</v>
      </c>
      <c r="AD23" s="6">
        <f t="shared" si="33"/>
        <v>1229652053</v>
      </c>
      <c r="AE23" s="8">
        <f t="shared" si="21"/>
        <v>1250454.7786409778</v>
      </c>
      <c r="AF23" s="6">
        <f t="shared" si="51"/>
        <v>9654</v>
      </c>
      <c r="AG23" s="6">
        <f t="shared" si="34"/>
        <v>12071890433</v>
      </c>
      <c r="AH23" s="6">
        <f t="shared" si="52"/>
        <v>3706</v>
      </c>
      <c r="AI23" s="6">
        <f t="shared" si="35"/>
        <v>4993451076</v>
      </c>
      <c r="AJ23" s="6">
        <f t="shared" si="53"/>
        <v>5948</v>
      </c>
      <c r="AK23" s="6">
        <f t="shared" si="36"/>
        <v>7078439357</v>
      </c>
      <c r="AL23" s="8">
        <f t="shared" si="23"/>
        <v>1218560.4941742655</v>
      </c>
      <c r="AM23" s="6">
        <f t="shared" si="54"/>
        <v>3948</v>
      </c>
      <c r="AN23" s="6">
        <f t="shared" si="37"/>
        <v>4810876831</v>
      </c>
      <c r="AO23" s="6">
        <f t="shared" si="55"/>
        <v>1845</v>
      </c>
      <c r="AP23" s="6">
        <f t="shared" si="38"/>
        <v>2488887439</v>
      </c>
      <c r="AQ23" s="6">
        <f t="shared" si="55"/>
        <v>2103</v>
      </c>
      <c r="AR23" s="6">
        <f t="shared" si="39"/>
        <v>2321989392</v>
      </c>
      <c r="AT23" s="3" t="s">
        <v>36</v>
      </c>
      <c r="AU23" s="6">
        <f t="shared" si="56"/>
        <v>1868</v>
      </c>
      <c r="AV23" s="6">
        <f t="shared" si="40"/>
        <v>2262612561</v>
      </c>
      <c r="AW23" s="6">
        <v>902</v>
      </c>
      <c r="AX23" s="6">
        <v>1126410344</v>
      </c>
      <c r="AY23" s="6">
        <v>966</v>
      </c>
      <c r="AZ23" s="6">
        <v>1136202217</v>
      </c>
      <c r="BA23" s="6">
        <f t="shared" si="57"/>
        <v>2136</v>
      </c>
      <c r="BB23" s="6">
        <f t="shared" si="41"/>
        <v>2396395531</v>
      </c>
      <c r="BC23" s="6">
        <v>1012</v>
      </c>
      <c r="BD23" s="6">
        <v>1166743478</v>
      </c>
      <c r="BE23" s="6">
        <v>1124</v>
      </c>
      <c r="BF23" s="6">
        <v>1229652053</v>
      </c>
      <c r="BG23" s="6">
        <f t="shared" si="58"/>
        <v>9654</v>
      </c>
      <c r="BH23" s="6">
        <f t="shared" si="42"/>
        <v>12071890433</v>
      </c>
      <c r="BI23" s="6">
        <v>3706</v>
      </c>
      <c r="BJ23" s="6">
        <v>4993451076</v>
      </c>
      <c r="BK23" s="6">
        <v>5948</v>
      </c>
      <c r="BL23" s="6">
        <v>7078439357</v>
      </c>
      <c r="BM23" s="6">
        <f t="shared" si="59"/>
        <v>3948</v>
      </c>
      <c r="BN23" s="6">
        <f t="shared" si="43"/>
        <v>4810876831</v>
      </c>
      <c r="BO23" s="6">
        <v>1845</v>
      </c>
      <c r="BP23" s="6">
        <v>2488887439</v>
      </c>
      <c r="BQ23" s="6">
        <v>2103</v>
      </c>
      <c r="BR23" s="6">
        <v>2321989392</v>
      </c>
      <c r="BS23" s="3" t="s">
        <v>36</v>
      </c>
      <c r="BT23" s="6">
        <v>57150</v>
      </c>
      <c r="BU23" s="6">
        <v>0</v>
      </c>
      <c r="BV23" s="6">
        <v>0</v>
      </c>
      <c r="BW23" s="6">
        <v>0</v>
      </c>
      <c r="BX23" s="6">
        <v>0</v>
      </c>
      <c r="BY23" s="6">
        <v>0</v>
      </c>
      <c r="BZ23" s="6">
        <v>0</v>
      </c>
      <c r="CA23" s="6">
        <v>0</v>
      </c>
    </row>
    <row r="24" spans="1:79" ht="24" customHeight="1">
      <c r="A24" s="206"/>
      <c r="B24" s="208"/>
      <c r="C24" s="3" t="s">
        <v>37</v>
      </c>
      <c r="D24" s="45">
        <f t="shared" si="9"/>
        <v>1165086.7936507936</v>
      </c>
      <c r="E24" s="45">
        <f t="shared" si="10"/>
        <v>1133193.9141176471</v>
      </c>
      <c r="F24" s="26">
        <f t="shared" si="11"/>
        <v>1125048.1674828599</v>
      </c>
      <c r="G24" s="26">
        <f t="shared" si="12"/>
        <v>1057902.8491674829</v>
      </c>
      <c r="H24" s="45">
        <f t="shared" si="13"/>
        <v>1185816.8878216124</v>
      </c>
      <c r="I24" s="45">
        <f t="shared" si="14"/>
        <v>1054659.8238163558</v>
      </c>
      <c r="J24" s="26">
        <f t="shared" si="15"/>
        <v>1206902.8218390804</v>
      </c>
      <c r="K24" s="27">
        <f t="shared" si="16"/>
        <v>998522.25552282773</v>
      </c>
      <c r="O24" s="214"/>
      <c r="P24" s="3" t="s">
        <v>37</v>
      </c>
      <c r="Q24" s="8">
        <f t="shared" si="17"/>
        <v>1148207.000622665</v>
      </c>
      <c r="R24" s="6">
        <f t="shared" si="44"/>
        <v>1606</v>
      </c>
      <c r="S24" s="6">
        <f t="shared" si="30"/>
        <v>1844020443</v>
      </c>
      <c r="T24" s="6">
        <f t="shared" si="45"/>
        <v>756</v>
      </c>
      <c r="U24" s="6">
        <f t="shared" si="46"/>
        <v>880805616</v>
      </c>
      <c r="V24" s="6">
        <f t="shared" si="47"/>
        <v>850</v>
      </c>
      <c r="W24" s="6">
        <f t="shared" si="48"/>
        <v>963214827</v>
      </c>
      <c r="X24" s="8">
        <f t="shared" si="19"/>
        <v>1091475.5083251714</v>
      </c>
      <c r="Y24" s="6">
        <f t="shared" si="49"/>
        <v>2042</v>
      </c>
      <c r="Z24" s="6">
        <f t="shared" si="31"/>
        <v>2228792988</v>
      </c>
      <c r="AA24" s="6">
        <f t="shared" si="50"/>
        <v>1021</v>
      </c>
      <c r="AB24" s="6">
        <f t="shared" si="32"/>
        <v>1148674179</v>
      </c>
      <c r="AC24" s="6">
        <f t="shared" si="50"/>
        <v>1021</v>
      </c>
      <c r="AD24" s="6">
        <f t="shared" si="33"/>
        <v>1080118809</v>
      </c>
      <c r="AE24" s="8">
        <f t="shared" si="21"/>
        <v>1114397.7678125</v>
      </c>
      <c r="AF24" s="6">
        <f t="shared" si="51"/>
        <v>6400</v>
      </c>
      <c r="AG24" s="6">
        <f t="shared" si="34"/>
        <v>7132145714</v>
      </c>
      <c r="AH24" s="6">
        <f t="shared" si="52"/>
        <v>2915</v>
      </c>
      <c r="AI24" s="6">
        <f t="shared" si="35"/>
        <v>3456656228</v>
      </c>
      <c r="AJ24" s="6">
        <f t="shared" si="53"/>
        <v>3485</v>
      </c>
      <c r="AK24" s="6">
        <f t="shared" si="36"/>
        <v>3675489486</v>
      </c>
      <c r="AL24" s="8">
        <f t="shared" si="23"/>
        <v>1104000.7094545455</v>
      </c>
      <c r="AM24" s="6">
        <f t="shared" si="54"/>
        <v>2750</v>
      </c>
      <c r="AN24" s="6">
        <f t="shared" si="37"/>
        <v>3036001951</v>
      </c>
      <c r="AO24" s="6">
        <f t="shared" si="55"/>
        <v>1392</v>
      </c>
      <c r="AP24" s="6">
        <f t="shared" si="38"/>
        <v>1680008728</v>
      </c>
      <c r="AQ24" s="6">
        <f t="shared" si="55"/>
        <v>1358</v>
      </c>
      <c r="AR24" s="6">
        <f t="shared" si="39"/>
        <v>1355993223</v>
      </c>
      <c r="AT24" s="3" t="s">
        <v>37</v>
      </c>
      <c r="AU24" s="6">
        <f t="shared" si="56"/>
        <v>1606</v>
      </c>
      <c r="AV24" s="6">
        <f t="shared" si="40"/>
        <v>1844020443</v>
      </c>
      <c r="AW24" s="6">
        <v>756</v>
      </c>
      <c r="AX24" s="6">
        <v>880805616</v>
      </c>
      <c r="AY24" s="6">
        <v>850</v>
      </c>
      <c r="AZ24" s="6">
        <v>963214827</v>
      </c>
      <c r="BA24" s="6">
        <f t="shared" si="57"/>
        <v>2042</v>
      </c>
      <c r="BB24" s="6">
        <f t="shared" si="41"/>
        <v>2228792988</v>
      </c>
      <c r="BC24" s="6">
        <v>1021</v>
      </c>
      <c r="BD24" s="6">
        <v>1148674179</v>
      </c>
      <c r="BE24" s="6">
        <v>1021</v>
      </c>
      <c r="BF24" s="6">
        <v>1080118809</v>
      </c>
      <c r="BG24" s="6">
        <f t="shared" si="58"/>
        <v>6400</v>
      </c>
      <c r="BH24" s="6">
        <f t="shared" si="42"/>
        <v>7132145714</v>
      </c>
      <c r="BI24" s="6">
        <v>2915</v>
      </c>
      <c r="BJ24" s="6">
        <v>3456656228</v>
      </c>
      <c r="BK24" s="6">
        <v>3485</v>
      </c>
      <c r="BL24" s="6">
        <v>3675489486</v>
      </c>
      <c r="BM24" s="6">
        <f t="shared" si="59"/>
        <v>2750</v>
      </c>
      <c r="BN24" s="6">
        <f t="shared" si="43"/>
        <v>3036001951</v>
      </c>
      <c r="BO24" s="6">
        <v>1392</v>
      </c>
      <c r="BP24" s="6">
        <v>1680008728</v>
      </c>
      <c r="BQ24" s="6">
        <v>1358</v>
      </c>
      <c r="BR24" s="6">
        <v>1355993223</v>
      </c>
      <c r="BS24" s="3" t="s">
        <v>37</v>
      </c>
      <c r="BT24" s="6">
        <v>0</v>
      </c>
      <c r="BU24" s="6">
        <v>0</v>
      </c>
      <c r="BV24" s="6">
        <v>0</v>
      </c>
      <c r="BW24" s="6">
        <v>0</v>
      </c>
      <c r="BX24" s="6">
        <v>0</v>
      </c>
      <c r="BY24" s="6">
        <v>0</v>
      </c>
      <c r="BZ24" s="6">
        <v>0</v>
      </c>
      <c r="CA24" s="6">
        <v>0</v>
      </c>
    </row>
    <row r="25" spans="1:79" ht="24" customHeight="1">
      <c r="A25" s="206"/>
      <c r="B25" s="208"/>
      <c r="C25" s="3" t="s">
        <v>38</v>
      </c>
      <c r="D25" s="45">
        <f t="shared" si="9"/>
        <v>1053755.0773881499</v>
      </c>
      <c r="E25" s="45">
        <f t="shared" si="10"/>
        <v>950675.80379746831</v>
      </c>
      <c r="F25" s="26">
        <f t="shared" si="11"/>
        <v>1023110.8041833555</v>
      </c>
      <c r="G25" s="26">
        <f t="shared" si="12"/>
        <v>827169.57142857148</v>
      </c>
      <c r="H25" s="45">
        <f t="shared" si="13"/>
        <v>1083430.969127096</v>
      </c>
      <c r="I25" s="45">
        <f t="shared" si="14"/>
        <v>893989.33885170834</v>
      </c>
      <c r="J25" s="26">
        <f t="shared" si="15"/>
        <v>1086083.4758965315</v>
      </c>
      <c r="K25" s="27">
        <f t="shared" si="16"/>
        <v>828890.82843526604</v>
      </c>
      <c r="O25" s="214"/>
      <c r="P25" s="3" t="s">
        <v>38</v>
      </c>
      <c r="Q25" s="8">
        <f t="shared" si="17"/>
        <v>1006102.6953836151</v>
      </c>
      <c r="R25" s="6">
        <f t="shared" si="44"/>
        <v>3076</v>
      </c>
      <c r="S25" s="6">
        <f t="shared" si="30"/>
        <v>3094771891</v>
      </c>
      <c r="T25" s="6">
        <f t="shared" si="45"/>
        <v>1654</v>
      </c>
      <c r="U25" s="6">
        <f t="shared" si="46"/>
        <v>1742910898</v>
      </c>
      <c r="V25" s="6">
        <f t="shared" si="47"/>
        <v>1422</v>
      </c>
      <c r="W25" s="6">
        <f t="shared" si="48"/>
        <v>1351860993</v>
      </c>
      <c r="X25" s="8">
        <f t="shared" si="19"/>
        <v>938295.25290257449</v>
      </c>
      <c r="Y25" s="6">
        <f t="shared" si="49"/>
        <v>3962</v>
      </c>
      <c r="Z25" s="6">
        <f t="shared" si="31"/>
        <v>3717525792</v>
      </c>
      <c r="AA25" s="6">
        <f t="shared" si="50"/>
        <v>2247</v>
      </c>
      <c r="AB25" s="6">
        <f t="shared" si="32"/>
        <v>2298929977</v>
      </c>
      <c r="AC25" s="6">
        <f t="shared" si="50"/>
        <v>1715</v>
      </c>
      <c r="AD25" s="6">
        <f t="shared" si="33"/>
        <v>1418595815</v>
      </c>
      <c r="AE25" s="8">
        <f t="shared" si="21"/>
        <v>994232.06567708764</v>
      </c>
      <c r="AF25" s="6">
        <f t="shared" si="51"/>
        <v>12059</v>
      </c>
      <c r="AG25" s="6">
        <f t="shared" si="34"/>
        <v>11989444480</v>
      </c>
      <c r="AH25" s="6">
        <f t="shared" si="52"/>
        <v>6381</v>
      </c>
      <c r="AI25" s="6">
        <f t="shared" si="35"/>
        <v>6913373014</v>
      </c>
      <c r="AJ25" s="6">
        <f t="shared" si="53"/>
        <v>5678</v>
      </c>
      <c r="AK25" s="6">
        <f t="shared" si="36"/>
        <v>5076071466</v>
      </c>
      <c r="AL25" s="8">
        <f t="shared" si="23"/>
        <v>976689.71131756762</v>
      </c>
      <c r="AM25" s="6">
        <f t="shared" si="54"/>
        <v>5920</v>
      </c>
      <c r="AN25" s="6">
        <f t="shared" si="37"/>
        <v>5782003091</v>
      </c>
      <c r="AO25" s="6">
        <f t="shared" si="55"/>
        <v>3402</v>
      </c>
      <c r="AP25" s="6">
        <f t="shared" si="38"/>
        <v>3694855985</v>
      </c>
      <c r="AQ25" s="6">
        <f t="shared" si="55"/>
        <v>2518</v>
      </c>
      <c r="AR25" s="6">
        <f t="shared" si="39"/>
        <v>2087147106</v>
      </c>
      <c r="AT25" s="3" t="s">
        <v>38</v>
      </c>
      <c r="AU25" s="6">
        <f t="shared" si="56"/>
        <v>3076</v>
      </c>
      <c r="AV25" s="6">
        <f t="shared" si="40"/>
        <v>3094837891</v>
      </c>
      <c r="AW25" s="6">
        <v>1654</v>
      </c>
      <c r="AX25" s="6">
        <v>1742976898</v>
      </c>
      <c r="AY25" s="6">
        <v>1422</v>
      </c>
      <c r="AZ25" s="6">
        <v>1351860993</v>
      </c>
      <c r="BA25" s="6">
        <f t="shared" si="57"/>
        <v>3962</v>
      </c>
      <c r="BB25" s="6">
        <f t="shared" si="41"/>
        <v>3717525792</v>
      </c>
      <c r="BC25" s="6">
        <v>2247</v>
      </c>
      <c r="BD25" s="6">
        <v>2298929977</v>
      </c>
      <c r="BE25" s="6">
        <v>1715</v>
      </c>
      <c r="BF25" s="6">
        <v>1418595815</v>
      </c>
      <c r="BG25" s="6">
        <f t="shared" si="58"/>
        <v>12059</v>
      </c>
      <c r="BH25" s="6">
        <f t="shared" si="42"/>
        <v>11989444480</v>
      </c>
      <c r="BI25" s="6">
        <v>6381</v>
      </c>
      <c r="BJ25" s="6">
        <v>6913373014</v>
      </c>
      <c r="BK25" s="6">
        <v>5678</v>
      </c>
      <c r="BL25" s="6">
        <v>5076071466</v>
      </c>
      <c r="BM25" s="6">
        <f t="shared" si="59"/>
        <v>5920</v>
      </c>
      <c r="BN25" s="6">
        <f t="shared" si="43"/>
        <v>5782003091</v>
      </c>
      <c r="BO25" s="6">
        <v>3402</v>
      </c>
      <c r="BP25" s="6">
        <v>3694855985</v>
      </c>
      <c r="BQ25" s="6">
        <v>2518</v>
      </c>
      <c r="BR25" s="6">
        <v>2087147106</v>
      </c>
      <c r="BS25" s="3" t="s">
        <v>38</v>
      </c>
      <c r="BT25" s="6">
        <v>66000</v>
      </c>
      <c r="BU25" s="6">
        <v>0</v>
      </c>
      <c r="BV25" s="6">
        <v>0</v>
      </c>
      <c r="BW25" s="6">
        <v>0</v>
      </c>
      <c r="BX25" s="6">
        <v>0</v>
      </c>
      <c r="BY25" s="6">
        <v>0</v>
      </c>
      <c r="BZ25" s="6">
        <v>0</v>
      </c>
      <c r="CA25" s="6">
        <v>0</v>
      </c>
    </row>
    <row r="26" spans="1:79" ht="24" customHeight="1">
      <c r="A26" s="206"/>
      <c r="B26" s="208"/>
      <c r="C26" s="3" t="s">
        <v>39</v>
      </c>
      <c r="D26" s="45">
        <f t="shared" si="9"/>
        <v>1065362.2708719852</v>
      </c>
      <c r="E26" s="45">
        <f t="shared" si="10"/>
        <v>940424.16666666663</v>
      </c>
      <c r="F26" s="26">
        <f t="shared" si="11"/>
        <v>1005094.5776</v>
      </c>
      <c r="G26" s="26">
        <f t="shared" si="12"/>
        <v>851412.70824524318</v>
      </c>
      <c r="H26" s="45">
        <f t="shared" si="13"/>
        <v>1076117.7392931392</v>
      </c>
      <c r="I26" s="45">
        <f t="shared" si="14"/>
        <v>853544.60476581764</v>
      </c>
      <c r="J26" s="26">
        <f t="shared" si="15"/>
        <v>1087581.1036036036</v>
      </c>
      <c r="K26" s="27">
        <f t="shared" si="16"/>
        <v>782356.05580357148</v>
      </c>
      <c r="O26" s="214"/>
      <c r="P26" s="3" t="s">
        <v>39</v>
      </c>
      <c r="Q26" s="8">
        <f t="shared" si="17"/>
        <v>1011534.6610348469</v>
      </c>
      <c r="R26" s="6">
        <f t="shared" si="44"/>
        <v>947</v>
      </c>
      <c r="S26" s="6">
        <f t="shared" si="30"/>
        <v>957923324</v>
      </c>
      <c r="T26" s="6">
        <f t="shared" si="45"/>
        <v>539</v>
      </c>
      <c r="U26" s="6">
        <f t="shared" si="46"/>
        <v>574230264</v>
      </c>
      <c r="V26" s="6">
        <f t="shared" si="47"/>
        <v>408</v>
      </c>
      <c r="W26" s="6">
        <f t="shared" si="48"/>
        <v>383693060</v>
      </c>
      <c r="X26" s="8">
        <f t="shared" si="19"/>
        <v>938891.00364298723</v>
      </c>
      <c r="Y26" s="6">
        <f t="shared" si="49"/>
        <v>1098</v>
      </c>
      <c r="Z26" s="6">
        <f t="shared" si="31"/>
        <v>1030902322</v>
      </c>
      <c r="AA26" s="6">
        <f t="shared" si="50"/>
        <v>625</v>
      </c>
      <c r="AB26" s="6">
        <f t="shared" si="32"/>
        <v>628184111</v>
      </c>
      <c r="AC26" s="6">
        <f t="shared" si="50"/>
        <v>473</v>
      </c>
      <c r="AD26" s="6">
        <f t="shared" si="33"/>
        <v>402718211</v>
      </c>
      <c r="AE26" s="8">
        <f t="shared" si="21"/>
        <v>964164.23455259355</v>
      </c>
      <c r="AF26" s="6">
        <f t="shared" si="51"/>
        <v>4839</v>
      </c>
      <c r="AG26" s="6">
        <f t="shared" si="34"/>
        <v>4665590731</v>
      </c>
      <c r="AH26" s="6">
        <f t="shared" si="52"/>
        <v>2405</v>
      </c>
      <c r="AI26" s="6">
        <f t="shared" si="35"/>
        <v>2588063163</v>
      </c>
      <c r="AJ26" s="6">
        <f t="shared" si="53"/>
        <v>2434</v>
      </c>
      <c r="AK26" s="6">
        <f t="shared" si="36"/>
        <v>2077527568</v>
      </c>
      <c r="AL26" s="8">
        <f t="shared" si="23"/>
        <v>951249.27766699903</v>
      </c>
      <c r="AM26" s="6">
        <f t="shared" si="54"/>
        <v>2006</v>
      </c>
      <c r="AN26" s="6">
        <f t="shared" si="37"/>
        <v>1908206051</v>
      </c>
      <c r="AO26" s="6">
        <f t="shared" si="55"/>
        <v>1110</v>
      </c>
      <c r="AP26" s="6">
        <f t="shared" si="38"/>
        <v>1207215025</v>
      </c>
      <c r="AQ26" s="6">
        <f t="shared" si="55"/>
        <v>896</v>
      </c>
      <c r="AR26" s="6">
        <f t="shared" si="39"/>
        <v>700991026</v>
      </c>
      <c r="AT26" s="3" t="s">
        <v>39</v>
      </c>
      <c r="AU26" s="6">
        <f t="shared" si="56"/>
        <v>947</v>
      </c>
      <c r="AV26" s="6">
        <f t="shared" si="40"/>
        <v>957923324</v>
      </c>
      <c r="AW26" s="6">
        <v>539</v>
      </c>
      <c r="AX26" s="6">
        <v>574230264</v>
      </c>
      <c r="AY26" s="6">
        <v>408</v>
      </c>
      <c r="AZ26" s="6">
        <v>383693060</v>
      </c>
      <c r="BA26" s="6">
        <f t="shared" si="57"/>
        <v>1098</v>
      </c>
      <c r="BB26" s="6">
        <f t="shared" si="41"/>
        <v>1030902322</v>
      </c>
      <c r="BC26" s="6">
        <v>625</v>
      </c>
      <c r="BD26" s="6">
        <v>628184111</v>
      </c>
      <c r="BE26" s="6">
        <v>473</v>
      </c>
      <c r="BF26" s="6">
        <v>402718211</v>
      </c>
      <c r="BG26" s="6">
        <f t="shared" si="58"/>
        <v>4839</v>
      </c>
      <c r="BH26" s="6">
        <f t="shared" si="42"/>
        <v>4665590731</v>
      </c>
      <c r="BI26" s="6">
        <v>2405</v>
      </c>
      <c r="BJ26" s="6">
        <v>2588063163</v>
      </c>
      <c r="BK26" s="6">
        <v>2434</v>
      </c>
      <c r="BL26" s="6">
        <v>2077527568</v>
      </c>
      <c r="BM26" s="6">
        <f t="shared" si="59"/>
        <v>2006</v>
      </c>
      <c r="BN26" s="6">
        <f t="shared" si="43"/>
        <v>1908206051</v>
      </c>
      <c r="BO26" s="6">
        <v>1110</v>
      </c>
      <c r="BP26" s="6">
        <v>1207215025</v>
      </c>
      <c r="BQ26" s="6">
        <v>896</v>
      </c>
      <c r="BR26" s="6">
        <v>700991026</v>
      </c>
      <c r="BS26" s="3" t="s">
        <v>39</v>
      </c>
      <c r="BT26" s="6">
        <v>0</v>
      </c>
      <c r="BU26" s="6">
        <v>0</v>
      </c>
      <c r="BV26" s="6">
        <v>0</v>
      </c>
      <c r="BW26" s="6">
        <v>0</v>
      </c>
      <c r="BX26" s="6">
        <v>0</v>
      </c>
      <c r="BY26" s="6">
        <v>0</v>
      </c>
      <c r="BZ26" s="6">
        <v>0</v>
      </c>
      <c r="CA26" s="6">
        <v>0</v>
      </c>
    </row>
    <row r="27" spans="1:79" ht="24" customHeight="1">
      <c r="A27" s="206"/>
      <c r="B27" s="208"/>
      <c r="C27" s="3" t="s">
        <v>40</v>
      </c>
      <c r="D27" s="45">
        <f t="shared" si="9"/>
        <v>963213.48959276022</v>
      </c>
      <c r="E27" s="45">
        <f t="shared" si="10"/>
        <v>848832.58503401361</v>
      </c>
      <c r="F27" s="26">
        <f t="shared" si="11"/>
        <v>897250.80278745643</v>
      </c>
      <c r="G27" s="26">
        <f t="shared" si="12"/>
        <v>741650.36576889665</v>
      </c>
      <c r="H27" s="45">
        <f t="shared" si="13"/>
        <v>972264.34502782486</v>
      </c>
      <c r="I27" s="45">
        <f t="shared" si="14"/>
        <v>756080.16045918362</v>
      </c>
      <c r="J27" s="26">
        <f t="shared" si="15"/>
        <v>989475.99369085173</v>
      </c>
      <c r="K27" s="27">
        <f t="shared" si="16"/>
        <v>701568.41738629818</v>
      </c>
      <c r="O27" s="214"/>
      <c r="P27" s="3" t="s">
        <v>40</v>
      </c>
      <c r="Q27" s="8">
        <f t="shared" si="17"/>
        <v>912441.49270256667</v>
      </c>
      <c r="R27" s="6">
        <f t="shared" si="44"/>
        <v>1987</v>
      </c>
      <c r="S27" s="6">
        <f t="shared" si="30"/>
        <v>1813021246</v>
      </c>
      <c r="T27" s="6">
        <f t="shared" si="45"/>
        <v>1105</v>
      </c>
      <c r="U27" s="6">
        <f t="shared" si="46"/>
        <v>1064350906</v>
      </c>
      <c r="V27" s="6">
        <f t="shared" si="47"/>
        <v>882</v>
      </c>
      <c r="W27" s="6">
        <f t="shared" si="48"/>
        <v>748670340</v>
      </c>
      <c r="X27" s="8">
        <f t="shared" si="19"/>
        <v>827994.76914153132</v>
      </c>
      <c r="Y27" s="6">
        <f t="shared" si="49"/>
        <v>2586</v>
      </c>
      <c r="Z27" s="6">
        <f t="shared" si="31"/>
        <v>2141194473</v>
      </c>
      <c r="AA27" s="6">
        <f t="shared" si="50"/>
        <v>1435</v>
      </c>
      <c r="AB27" s="6">
        <f t="shared" si="32"/>
        <v>1287554902</v>
      </c>
      <c r="AC27" s="6">
        <f t="shared" si="50"/>
        <v>1151</v>
      </c>
      <c r="AD27" s="6">
        <f t="shared" si="33"/>
        <v>853639571</v>
      </c>
      <c r="AE27" s="8">
        <f t="shared" si="21"/>
        <v>867031.26375263871</v>
      </c>
      <c r="AF27" s="6">
        <f t="shared" si="51"/>
        <v>8053</v>
      </c>
      <c r="AG27" s="6">
        <f t="shared" si="34"/>
        <v>6982202767</v>
      </c>
      <c r="AH27" s="6">
        <f t="shared" si="52"/>
        <v>4133</v>
      </c>
      <c r="AI27" s="6">
        <f t="shared" si="35"/>
        <v>4018368538</v>
      </c>
      <c r="AJ27" s="6">
        <f t="shared" si="53"/>
        <v>3920</v>
      </c>
      <c r="AK27" s="6">
        <f t="shared" si="36"/>
        <v>2963834229</v>
      </c>
      <c r="AL27" s="8">
        <f t="shared" si="23"/>
        <v>863061.57002022245</v>
      </c>
      <c r="AM27" s="6">
        <f t="shared" si="54"/>
        <v>3956</v>
      </c>
      <c r="AN27" s="6">
        <f t="shared" si="37"/>
        <v>3414271571</v>
      </c>
      <c r="AO27" s="6">
        <f t="shared" si="55"/>
        <v>2219</v>
      </c>
      <c r="AP27" s="6">
        <f t="shared" si="38"/>
        <v>2195647230</v>
      </c>
      <c r="AQ27" s="6">
        <f t="shared" si="55"/>
        <v>1737</v>
      </c>
      <c r="AR27" s="6">
        <f t="shared" si="39"/>
        <v>1218624341</v>
      </c>
      <c r="AT27" s="3" t="s">
        <v>40</v>
      </c>
      <c r="AU27" s="6">
        <f t="shared" si="56"/>
        <v>1987</v>
      </c>
      <c r="AV27" s="6">
        <f t="shared" si="40"/>
        <v>1813021246</v>
      </c>
      <c r="AW27" s="6">
        <v>1105</v>
      </c>
      <c r="AX27" s="6">
        <v>1064350906</v>
      </c>
      <c r="AY27" s="6">
        <v>882</v>
      </c>
      <c r="AZ27" s="6">
        <v>748670340</v>
      </c>
      <c r="BA27" s="6">
        <f t="shared" si="57"/>
        <v>2586</v>
      </c>
      <c r="BB27" s="6">
        <f t="shared" si="41"/>
        <v>2141194473</v>
      </c>
      <c r="BC27" s="6">
        <v>1435</v>
      </c>
      <c r="BD27" s="6">
        <v>1287554902</v>
      </c>
      <c r="BE27" s="6">
        <v>1151</v>
      </c>
      <c r="BF27" s="6">
        <v>853639571</v>
      </c>
      <c r="BG27" s="6">
        <f t="shared" si="58"/>
        <v>8053</v>
      </c>
      <c r="BH27" s="6">
        <f t="shared" si="42"/>
        <v>6982202767</v>
      </c>
      <c r="BI27" s="6">
        <v>4133</v>
      </c>
      <c r="BJ27" s="6">
        <v>4018368538</v>
      </c>
      <c r="BK27" s="6">
        <v>3920</v>
      </c>
      <c r="BL27" s="6">
        <v>2963834229</v>
      </c>
      <c r="BM27" s="6">
        <f t="shared" si="59"/>
        <v>3956</v>
      </c>
      <c r="BN27" s="6">
        <f t="shared" si="43"/>
        <v>3414271571</v>
      </c>
      <c r="BO27" s="6">
        <v>2219</v>
      </c>
      <c r="BP27" s="6">
        <v>2195647230</v>
      </c>
      <c r="BQ27" s="6">
        <v>1737</v>
      </c>
      <c r="BR27" s="6">
        <v>1218624341</v>
      </c>
      <c r="BS27" s="3" t="s">
        <v>40</v>
      </c>
      <c r="BT27" s="6">
        <v>0</v>
      </c>
      <c r="BU27" s="6">
        <v>0</v>
      </c>
      <c r="BV27" s="6">
        <v>0</v>
      </c>
      <c r="BW27" s="6">
        <v>0</v>
      </c>
      <c r="BX27" s="6">
        <v>0</v>
      </c>
      <c r="BY27" s="6">
        <v>0</v>
      </c>
      <c r="BZ27" s="6">
        <v>0</v>
      </c>
      <c r="CA27" s="6">
        <v>0</v>
      </c>
    </row>
    <row r="28" spans="1:79" ht="24" customHeight="1">
      <c r="A28" s="206"/>
      <c r="B28" s="208"/>
      <c r="C28" s="16" t="s">
        <v>41</v>
      </c>
      <c r="D28" s="42">
        <f t="shared" si="9"/>
        <v>1138088.0276872965</v>
      </c>
      <c r="E28" s="42">
        <f t="shared" si="10"/>
        <v>1081375.6882764529</v>
      </c>
      <c r="F28" s="23">
        <f t="shared" si="11"/>
        <v>1087158.9122477709</v>
      </c>
      <c r="G28" s="23">
        <f t="shared" si="12"/>
        <v>1041775.4780952381</v>
      </c>
      <c r="H28" s="42">
        <f t="shared" si="13"/>
        <v>1186727.9675572519</v>
      </c>
      <c r="I28" s="42">
        <f t="shared" si="14"/>
        <v>1047638.5622438968</v>
      </c>
      <c r="J28" s="23">
        <f t="shared" si="15"/>
        <v>1191361.4688530487</v>
      </c>
      <c r="K28" s="24">
        <f t="shared" si="16"/>
        <v>1022505.0715649442</v>
      </c>
      <c r="O28" s="214"/>
      <c r="P28" s="16" t="s">
        <v>41</v>
      </c>
      <c r="Q28" s="7">
        <f t="shared" si="17"/>
        <v>1109218.6148142763</v>
      </c>
      <c r="R28" s="5">
        <f t="shared" si="44"/>
        <v>13757</v>
      </c>
      <c r="S28" s="5">
        <f t="shared" si="30"/>
        <v>15259520484</v>
      </c>
      <c r="T28" s="5">
        <f t="shared" si="45"/>
        <v>6754</v>
      </c>
      <c r="U28" s="5">
        <f t="shared" si="46"/>
        <v>7686646539</v>
      </c>
      <c r="V28" s="5">
        <f t="shared" si="47"/>
        <v>7003</v>
      </c>
      <c r="W28" s="5">
        <f t="shared" si="48"/>
        <v>7572873945</v>
      </c>
      <c r="X28" s="7">
        <f t="shared" si="19"/>
        <v>1063945.7109289931</v>
      </c>
      <c r="Y28" s="5">
        <f t="shared" si="49"/>
        <v>17449</v>
      </c>
      <c r="Z28" s="5">
        <f t="shared" si="31"/>
        <v>18564788710</v>
      </c>
      <c r="AA28" s="5">
        <f t="shared" si="50"/>
        <v>8524</v>
      </c>
      <c r="AB28" s="5">
        <f t="shared" si="32"/>
        <v>9266942568</v>
      </c>
      <c r="AC28" s="5">
        <f t="shared" si="50"/>
        <v>8925</v>
      </c>
      <c r="AD28" s="5">
        <f t="shared" si="33"/>
        <v>9297846142</v>
      </c>
      <c r="AE28" s="7">
        <f t="shared" si="21"/>
        <v>1111413.0475327354</v>
      </c>
      <c r="AF28" s="5">
        <f t="shared" si="51"/>
        <v>63998</v>
      </c>
      <c r="AG28" s="5">
        <f t="shared" si="34"/>
        <v>71128212216</v>
      </c>
      <c r="AH28" s="5">
        <f t="shared" si="52"/>
        <v>29344</v>
      </c>
      <c r="AI28" s="5">
        <f t="shared" si="35"/>
        <v>34823345480</v>
      </c>
      <c r="AJ28" s="5">
        <f t="shared" si="53"/>
        <v>34654</v>
      </c>
      <c r="AK28" s="5">
        <f t="shared" si="36"/>
        <v>36304866736</v>
      </c>
      <c r="AL28" s="7">
        <f t="shared" si="23"/>
        <v>1108066.9821971077</v>
      </c>
      <c r="AM28" s="5">
        <f t="shared" si="54"/>
        <v>32916</v>
      </c>
      <c r="AN28" s="5">
        <f t="shared" si="37"/>
        <v>36473132786</v>
      </c>
      <c r="AO28" s="5">
        <f t="shared" si="55"/>
        <v>16679</v>
      </c>
      <c r="AP28" s="5">
        <f t="shared" si="38"/>
        <v>19870717939</v>
      </c>
      <c r="AQ28" s="5">
        <f t="shared" si="55"/>
        <v>16237</v>
      </c>
      <c r="AR28" s="5">
        <f t="shared" si="39"/>
        <v>16602414847</v>
      </c>
      <c r="AT28" s="16" t="s">
        <v>41</v>
      </c>
      <c r="AU28" s="5">
        <f t="shared" si="56"/>
        <v>13757</v>
      </c>
      <c r="AV28" s="5">
        <f t="shared" si="40"/>
        <v>15259520484</v>
      </c>
      <c r="AW28" s="5">
        <v>6754</v>
      </c>
      <c r="AX28" s="5">
        <v>7686646539</v>
      </c>
      <c r="AY28" s="5">
        <v>7003</v>
      </c>
      <c r="AZ28" s="5">
        <v>7572873945</v>
      </c>
      <c r="BA28" s="5">
        <f t="shared" si="57"/>
        <v>17449</v>
      </c>
      <c r="BB28" s="5">
        <f t="shared" si="41"/>
        <v>18564711910</v>
      </c>
      <c r="BC28" s="5">
        <v>8524</v>
      </c>
      <c r="BD28" s="5">
        <v>9266942568</v>
      </c>
      <c r="BE28" s="5">
        <v>8925</v>
      </c>
      <c r="BF28" s="5">
        <v>9297769342</v>
      </c>
      <c r="BG28" s="5">
        <f t="shared" si="58"/>
        <v>63998</v>
      </c>
      <c r="BH28" s="5">
        <f t="shared" si="42"/>
        <v>71128268082</v>
      </c>
      <c r="BI28" s="5">
        <v>29344</v>
      </c>
      <c r="BJ28" s="5">
        <v>34823401346</v>
      </c>
      <c r="BK28" s="5">
        <v>34654</v>
      </c>
      <c r="BL28" s="5">
        <v>36304866736</v>
      </c>
      <c r="BM28" s="5">
        <f t="shared" si="59"/>
        <v>32916</v>
      </c>
      <c r="BN28" s="5">
        <f t="shared" si="43"/>
        <v>36473132786</v>
      </c>
      <c r="BO28" s="5">
        <v>16679</v>
      </c>
      <c r="BP28" s="5">
        <v>19870717939</v>
      </c>
      <c r="BQ28" s="5">
        <v>16237</v>
      </c>
      <c r="BR28" s="5">
        <v>16602414847</v>
      </c>
      <c r="BS28" s="16" t="s">
        <v>41</v>
      </c>
      <c r="BT28" s="5">
        <v>0</v>
      </c>
      <c r="BU28" s="9">
        <v>0</v>
      </c>
      <c r="BV28" s="5">
        <v>0</v>
      </c>
      <c r="BW28" s="9">
        <v>-76800</v>
      </c>
      <c r="BX28" s="5">
        <v>55866</v>
      </c>
      <c r="BY28" s="5">
        <v>0</v>
      </c>
      <c r="BZ28" s="5">
        <v>0</v>
      </c>
      <c r="CA28" s="5">
        <v>0</v>
      </c>
    </row>
    <row r="29" spans="1:79" ht="24" customHeight="1">
      <c r="A29" s="206"/>
      <c r="B29" s="208"/>
      <c r="C29" s="16" t="s">
        <v>42</v>
      </c>
      <c r="D29" s="42">
        <f t="shared" si="9"/>
        <v>1117215.0456971314</v>
      </c>
      <c r="E29" s="42">
        <f t="shared" si="10"/>
        <v>967222.59678714862</v>
      </c>
      <c r="F29" s="23">
        <f t="shared" si="11"/>
        <v>1091300.1849225112</v>
      </c>
      <c r="G29" s="23">
        <f t="shared" si="12"/>
        <v>896253.4305555555</v>
      </c>
      <c r="H29" s="42">
        <f t="shared" si="13"/>
        <v>1159479.4350230414</v>
      </c>
      <c r="I29" s="42">
        <f t="shared" si="14"/>
        <v>912260.83907402225</v>
      </c>
      <c r="J29" s="23">
        <f t="shared" si="15"/>
        <v>1218991.5300047251</v>
      </c>
      <c r="K29" s="24">
        <f t="shared" si="16"/>
        <v>862264.5398574206</v>
      </c>
      <c r="O29" s="214"/>
      <c r="P29" s="16" t="s">
        <v>42</v>
      </c>
      <c r="Q29" s="7">
        <f t="shared" si="17"/>
        <v>1049160.8915816327</v>
      </c>
      <c r="R29" s="5">
        <f t="shared" si="44"/>
        <v>5488</v>
      </c>
      <c r="S29" s="5">
        <f t="shared" si="30"/>
        <v>5757794973</v>
      </c>
      <c r="T29" s="5">
        <f t="shared" si="45"/>
        <v>2998</v>
      </c>
      <c r="U29" s="5">
        <f t="shared" si="46"/>
        <v>3349410707</v>
      </c>
      <c r="V29" s="5">
        <f t="shared" si="47"/>
        <v>2490</v>
      </c>
      <c r="W29" s="5">
        <f t="shared" si="48"/>
        <v>2408384266</v>
      </c>
      <c r="X29" s="7">
        <f t="shared" si="19"/>
        <v>1003821.5884398088</v>
      </c>
      <c r="Y29" s="5">
        <f t="shared" si="49"/>
        <v>6903</v>
      </c>
      <c r="Z29" s="5">
        <f t="shared" si="31"/>
        <v>6929380425</v>
      </c>
      <c r="AA29" s="5">
        <f t="shared" si="50"/>
        <v>3807</v>
      </c>
      <c r="AB29" s="5">
        <f t="shared" si="32"/>
        <v>4154579804</v>
      </c>
      <c r="AC29" s="5">
        <f t="shared" si="50"/>
        <v>3096</v>
      </c>
      <c r="AD29" s="5">
        <f t="shared" si="33"/>
        <v>2774800621</v>
      </c>
      <c r="AE29" s="7">
        <f t="shared" si="21"/>
        <v>1036655.4857394611</v>
      </c>
      <c r="AF29" s="5">
        <f t="shared" si="51"/>
        <v>21563</v>
      </c>
      <c r="AG29" s="5">
        <f t="shared" si="34"/>
        <v>22353402239</v>
      </c>
      <c r="AH29" s="5">
        <f t="shared" si="52"/>
        <v>10850</v>
      </c>
      <c r="AI29" s="5">
        <f t="shared" si="35"/>
        <v>12580351870</v>
      </c>
      <c r="AJ29" s="5">
        <f t="shared" si="53"/>
        <v>10713</v>
      </c>
      <c r="AK29" s="5">
        <f t="shared" si="36"/>
        <v>9773050369</v>
      </c>
      <c r="AL29" s="7">
        <f t="shared" si="23"/>
        <v>1068573.4905265076</v>
      </c>
      <c r="AM29" s="5">
        <f t="shared" si="54"/>
        <v>10978</v>
      </c>
      <c r="AN29" s="5">
        <f t="shared" si="37"/>
        <v>11730799779</v>
      </c>
      <c r="AO29" s="5">
        <f t="shared" si="55"/>
        <v>6349</v>
      </c>
      <c r="AP29" s="5">
        <f t="shared" si="38"/>
        <v>7739377224</v>
      </c>
      <c r="AQ29" s="5">
        <f t="shared" si="55"/>
        <v>4629</v>
      </c>
      <c r="AR29" s="5">
        <f t="shared" si="39"/>
        <v>3991422555</v>
      </c>
      <c r="AT29" s="16" t="s">
        <v>42</v>
      </c>
      <c r="AU29" s="5">
        <f t="shared" si="56"/>
        <v>5488</v>
      </c>
      <c r="AV29" s="5">
        <f t="shared" si="40"/>
        <v>5757794973</v>
      </c>
      <c r="AW29" s="5">
        <v>2998</v>
      </c>
      <c r="AX29" s="5">
        <v>3349410707</v>
      </c>
      <c r="AY29" s="5">
        <v>2490</v>
      </c>
      <c r="AZ29" s="5">
        <v>2408384266</v>
      </c>
      <c r="BA29" s="5">
        <f t="shared" si="57"/>
        <v>6903</v>
      </c>
      <c r="BB29" s="5">
        <f t="shared" si="41"/>
        <v>6929380425</v>
      </c>
      <c r="BC29" s="5">
        <v>3807</v>
      </c>
      <c r="BD29" s="5">
        <v>4154579804</v>
      </c>
      <c r="BE29" s="5">
        <v>3096</v>
      </c>
      <c r="BF29" s="5">
        <v>2774800621</v>
      </c>
      <c r="BG29" s="5">
        <f t="shared" si="58"/>
        <v>21563</v>
      </c>
      <c r="BH29" s="5">
        <f t="shared" si="42"/>
        <v>22353402239</v>
      </c>
      <c r="BI29" s="5">
        <v>10850</v>
      </c>
      <c r="BJ29" s="5">
        <v>12580351870</v>
      </c>
      <c r="BK29" s="5">
        <v>10713</v>
      </c>
      <c r="BL29" s="5">
        <v>9773050369</v>
      </c>
      <c r="BM29" s="5">
        <f t="shared" si="59"/>
        <v>10978</v>
      </c>
      <c r="BN29" s="5">
        <f t="shared" si="43"/>
        <v>11730799779</v>
      </c>
      <c r="BO29" s="5">
        <v>6349</v>
      </c>
      <c r="BP29" s="5">
        <v>7739377224</v>
      </c>
      <c r="BQ29" s="5">
        <v>4629</v>
      </c>
      <c r="BR29" s="5">
        <v>3991422555</v>
      </c>
      <c r="BS29" s="16" t="s">
        <v>42</v>
      </c>
      <c r="BT29" s="5">
        <v>0</v>
      </c>
      <c r="BU29" s="5">
        <v>0</v>
      </c>
      <c r="BV29" s="5">
        <v>0</v>
      </c>
      <c r="BW29" s="5">
        <v>0</v>
      </c>
      <c r="BX29" s="5">
        <v>0</v>
      </c>
      <c r="BY29" s="5">
        <v>0</v>
      </c>
      <c r="BZ29" s="5">
        <v>0</v>
      </c>
      <c r="CA29" s="5">
        <v>0</v>
      </c>
    </row>
    <row r="30" spans="1:79" ht="24" customHeight="1">
      <c r="A30" s="206"/>
      <c r="B30" s="208"/>
      <c r="C30" s="16" t="s">
        <v>109</v>
      </c>
      <c r="D30" s="42">
        <f t="shared" si="9"/>
        <v>1124330.5744680851</v>
      </c>
      <c r="E30" s="42">
        <f t="shared" si="10"/>
        <v>1073080.5833333333</v>
      </c>
      <c r="F30" s="23">
        <f t="shared" si="11"/>
        <v>1172016.6530612244</v>
      </c>
      <c r="G30" s="23">
        <f t="shared" si="12"/>
        <v>726079.1176470588</v>
      </c>
      <c r="H30" s="42">
        <f t="shared" si="13"/>
        <v>1376401.2033333334</v>
      </c>
      <c r="I30" s="42">
        <f t="shared" si="14"/>
        <v>803980.3468208093</v>
      </c>
      <c r="J30" s="23">
        <f t="shared" si="15"/>
        <v>1446410.3518518519</v>
      </c>
      <c r="K30" s="24">
        <f t="shared" si="16"/>
        <v>725667.67605633801</v>
      </c>
      <c r="O30" s="214"/>
      <c r="P30" s="16" t="s">
        <v>73</v>
      </c>
      <c r="Q30" s="7">
        <f t="shared" si="17"/>
        <v>1107006.633802817</v>
      </c>
      <c r="R30" s="5">
        <f t="shared" ref="R30:W30" si="60">SUM(R31:R32)</f>
        <v>71</v>
      </c>
      <c r="S30" s="5">
        <f t="shared" si="60"/>
        <v>78597471</v>
      </c>
      <c r="T30" s="5">
        <f t="shared" si="60"/>
        <v>47</v>
      </c>
      <c r="U30" s="5">
        <f t="shared" si="60"/>
        <v>52843537</v>
      </c>
      <c r="V30" s="5">
        <f t="shared" si="60"/>
        <v>24</v>
      </c>
      <c r="W30" s="5">
        <f t="shared" si="60"/>
        <v>25753934</v>
      </c>
      <c r="X30" s="7">
        <f t="shared" si="19"/>
        <v>989343.44578313257</v>
      </c>
      <c r="Y30" s="5">
        <f t="shared" ref="Y30:AD30" si="61">SUM(Y31:Y32)</f>
        <v>83</v>
      </c>
      <c r="Z30" s="5">
        <f t="shared" si="61"/>
        <v>82115506</v>
      </c>
      <c r="AA30" s="5">
        <f t="shared" si="61"/>
        <v>49</v>
      </c>
      <c r="AB30" s="5">
        <f t="shared" si="61"/>
        <v>57428816</v>
      </c>
      <c r="AC30" s="5">
        <f t="shared" si="61"/>
        <v>34</v>
      </c>
      <c r="AD30" s="5">
        <f t="shared" si="61"/>
        <v>24686690</v>
      </c>
      <c r="AE30" s="7">
        <f t="shared" si="21"/>
        <v>1167037.9725158561</v>
      </c>
      <c r="AF30" s="5">
        <f t="shared" ref="AF30:AK30" si="62">SUM(AF31:AF32)</f>
        <v>473</v>
      </c>
      <c r="AG30" s="5">
        <f t="shared" si="62"/>
        <v>552008961</v>
      </c>
      <c r="AH30" s="5">
        <f t="shared" si="62"/>
        <v>300</v>
      </c>
      <c r="AI30" s="5">
        <f t="shared" si="62"/>
        <v>412920361</v>
      </c>
      <c r="AJ30" s="5">
        <f t="shared" si="62"/>
        <v>173</v>
      </c>
      <c r="AK30" s="5">
        <f t="shared" si="62"/>
        <v>139088600</v>
      </c>
      <c r="AL30" s="7">
        <f t="shared" si="23"/>
        <v>1226784.9012875536</v>
      </c>
      <c r="AM30" s="5">
        <f t="shared" ref="AM30:AR30" si="63">SUM(AM31:AM32)</f>
        <v>233</v>
      </c>
      <c r="AN30" s="5">
        <f t="shared" si="63"/>
        <v>285840882</v>
      </c>
      <c r="AO30" s="5">
        <f t="shared" si="63"/>
        <v>162</v>
      </c>
      <c r="AP30" s="5">
        <f t="shared" si="63"/>
        <v>234318477</v>
      </c>
      <c r="AQ30" s="5">
        <f>SUM(AQ31:AQ32)</f>
        <v>71</v>
      </c>
      <c r="AR30" s="5">
        <f t="shared" si="63"/>
        <v>51522405</v>
      </c>
      <c r="AT30" s="16" t="s">
        <v>73</v>
      </c>
      <c r="AU30" s="5">
        <f t="shared" ref="AU30:AZ30" si="64">SUM(AU31:AU32)</f>
        <v>71</v>
      </c>
      <c r="AV30" s="5">
        <f t="shared" si="64"/>
        <v>78597471</v>
      </c>
      <c r="AW30" s="5">
        <f t="shared" si="64"/>
        <v>47</v>
      </c>
      <c r="AX30" s="5">
        <f t="shared" si="64"/>
        <v>52843537</v>
      </c>
      <c r="AY30" s="5">
        <f t="shared" si="64"/>
        <v>24</v>
      </c>
      <c r="AZ30" s="5">
        <f t="shared" si="64"/>
        <v>25753934</v>
      </c>
      <c r="BA30" s="5">
        <f t="shared" ref="BA30:BF30" si="65">SUM(BA31:BA32)</f>
        <v>83</v>
      </c>
      <c r="BB30" s="5">
        <f t="shared" si="65"/>
        <v>82115506</v>
      </c>
      <c r="BC30" s="5">
        <f t="shared" si="65"/>
        <v>49</v>
      </c>
      <c r="BD30" s="5">
        <f t="shared" si="65"/>
        <v>57428816</v>
      </c>
      <c r="BE30" s="5">
        <f t="shared" si="65"/>
        <v>34</v>
      </c>
      <c r="BF30" s="5">
        <f t="shared" si="65"/>
        <v>24686690</v>
      </c>
      <c r="BG30" s="5">
        <f t="shared" ref="BG30:BL30" si="66">SUM(BG31:BG32)</f>
        <v>473</v>
      </c>
      <c r="BH30" s="5">
        <f t="shared" si="66"/>
        <v>552008961</v>
      </c>
      <c r="BI30" s="5">
        <f t="shared" si="66"/>
        <v>300</v>
      </c>
      <c r="BJ30" s="5">
        <f t="shared" si="66"/>
        <v>412920361</v>
      </c>
      <c r="BK30" s="5">
        <f t="shared" si="66"/>
        <v>173</v>
      </c>
      <c r="BL30" s="5">
        <f t="shared" si="66"/>
        <v>139088600</v>
      </c>
      <c r="BM30" s="5">
        <f t="shared" ref="BM30:BR30" si="67">SUM(BM31:BM32)</f>
        <v>233</v>
      </c>
      <c r="BN30" s="5">
        <f t="shared" si="67"/>
        <v>285840882</v>
      </c>
      <c r="BO30" s="5">
        <f t="shared" si="67"/>
        <v>162</v>
      </c>
      <c r="BP30" s="5">
        <f t="shared" si="67"/>
        <v>234318477</v>
      </c>
      <c r="BQ30" s="5">
        <f t="shared" si="67"/>
        <v>71</v>
      </c>
      <c r="BR30" s="5">
        <f t="shared" si="67"/>
        <v>51522405</v>
      </c>
      <c r="BS30" s="16" t="s">
        <v>73</v>
      </c>
      <c r="BT30" s="5">
        <f>SUM(BT31:BT32)</f>
        <v>0</v>
      </c>
      <c r="BU30" s="5">
        <f>SUM(BU31:BU32)</f>
        <v>0</v>
      </c>
      <c r="BV30" s="5">
        <f t="shared" ref="BV30:CA30" si="68">SUM(BV31:BV32)</f>
        <v>0</v>
      </c>
      <c r="BW30" s="5">
        <f t="shared" si="68"/>
        <v>0</v>
      </c>
      <c r="BX30" s="5">
        <f t="shared" si="68"/>
        <v>0</v>
      </c>
      <c r="BY30" s="5">
        <f t="shared" si="68"/>
        <v>0</v>
      </c>
      <c r="BZ30" s="5">
        <f t="shared" si="68"/>
        <v>0</v>
      </c>
      <c r="CA30" s="5">
        <f t="shared" si="68"/>
        <v>0</v>
      </c>
    </row>
    <row r="31" spans="1:79" ht="24" customHeight="1">
      <c r="A31" s="206"/>
      <c r="B31" s="208"/>
      <c r="C31" s="3" t="s">
        <v>43</v>
      </c>
      <c r="D31" s="45">
        <f t="shared" si="9"/>
        <v>1160330.0526315789</v>
      </c>
      <c r="E31" s="45">
        <f t="shared" si="10"/>
        <v>1073080.5833333333</v>
      </c>
      <c r="F31" s="26">
        <f t="shared" si="11"/>
        <v>1188524.8048780488</v>
      </c>
      <c r="G31" s="26">
        <f t="shared" si="12"/>
        <v>786952.8666666667</v>
      </c>
      <c r="H31" s="45">
        <f t="shared" si="13"/>
        <v>1373878.7529880479</v>
      </c>
      <c r="I31" s="45">
        <f t="shared" si="14"/>
        <v>760372.7</v>
      </c>
      <c r="J31" s="26">
        <f t="shared" si="15"/>
        <v>1423004.781690141</v>
      </c>
      <c r="K31" s="27">
        <f t="shared" si="16"/>
        <v>724965.64406779665</v>
      </c>
      <c r="O31" s="214"/>
      <c r="P31" s="3" t="s">
        <v>43</v>
      </c>
      <c r="Q31" s="8">
        <f t="shared" si="17"/>
        <v>1126556.064516129</v>
      </c>
      <c r="R31" s="6">
        <f>T31+V31</f>
        <v>62</v>
      </c>
      <c r="S31" s="6">
        <f>U31+W31</f>
        <v>69846476</v>
      </c>
      <c r="T31" s="6">
        <f>AW31</f>
        <v>38</v>
      </c>
      <c r="U31" s="6">
        <f>AX31-BT31</f>
        <v>44092542</v>
      </c>
      <c r="V31" s="6">
        <f>AY31</f>
        <v>24</v>
      </c>
      <c r="W31" s="6">
        <f>AZ31-BU31</f>
        <v>25753934</v>
      </c>
      <c r="X31" s="8">
        <f t="shared" si="19"/>
        <v>1018846.5211267605</v>
      </c>
      <c r="Y31" s="6">
        <f>AA31+AC31</f>
        <v>71</v>
      </c>
      <c r="Z31" s="6">
        <f>AB31+AD31</f>
        <v>72338103</v>
      </c>
      <c r="AA31" s="6">
        <f t="shared" ref="AA31:AC32" si="69">BC31</f>
        <v>41</v>
      </c>
      <c r="AB31" s="6">
        <f>BD31-BV31</f>
        <v>48729517</v>
      </c>
      <c r="AC31" s="6">
        <f t="shared" si="69"/>
        <v>30</v>
      </c>
      <c r="AD31" s="6">
        <f>BF31-BW31</f>
        <v>23608586</v>
      </c>
      <c r="AE31" s="8">
        <f t="shared" si="21"/>
        <v>1144387.710723192</v>
      </c>
      <c r="AF31" s="6">
        <f>AH31+AJ31</f>
        <v>401</v>
      </c>
      <c r="AG31" s="6">
        <f>AI31+AK31</f>
        <v>458899472</v>
      </c>
      <c r="AH31" s="6">
        <f>BI31</f>
        <v>251</v>
      </c>
      <c r="AI31" s="6">
        <f>BJ31-BX31</f>
        <v>344843567</v>
      </c>
      <c r="AJ31" s="6">
        <f>BK31</f>
        <v>150</v>
      </c>
      <c r="AK31" s="6">
        <f>BL31-BY31</f>
        <v>114055905</v>
      </c>
      <c r="AL31" s="8">
        <f t="shared" si="23"/>
        <v>1218107.7213930348</v>
      </c>
      <c r="AM31" s="6">
        <f>AO31+AQ31</f>
        <v>201</v>
      </c>
      <c r="AN31" s="6">
        <f>AP31+AR31</f>
        <v>244839652</v>
      </c>
      <c r="AO31" s="6">
        <f t="shared" ref="AO31:AQ32" si="70">BO31</f>
        <v>142</v>
      </c>
      <c r="AP31" s="6">
        <f>BP31-BZ31</f>
        <v>202066679</v>
      </c>
      <c r="AQ31" s="6">
        <f t="shared" si="70"/>
        <v>59</v>
      </c>
      <c r="AR31" s="6">
        <f>BR31-CA31</f>
        <v>42772973</v>
      </c>
      <c r="AT31" s="3" t="s">
        <v>43</v>
      </c>
      <c r="AU31" s="6">
        <f>AW31+AY31</f>
        <v>62</v>
      </c>
      <c r="AV31" s="6">
        <f>AX31+AZ31</f>
        <v>69846476</v>
      </c>
      <c r="AW31" s="6">
        <v>38</v>
      </c>
      <c r="AX31" s="6">
        <v>44092542</v>
      </c>
      <c r="AY31" s="6">
        <v>24</v>
      </c>
      <c r="AZ31" s="6">
        <v>25753934</v>
      </c>
      <c r="BA31" s="6">
        <f>BC31+BE31</f>
        <v>71</v>
      </c>
      <c r="BB31" s="6">
        <f>BD31+BF31</f>
        <v>72338103</v>
      </c>
      <c r="BC31" s="6">
        <v>41</v>
      </c>
      <c r="BD31" s="6">
        <v>48729517</v>
      </c>
      <c r="BE31" s="6">
        <v>30</v>
      </c>
      <c r="BF31" s="6">
        <v>23608586</v>
      </c>
      <c r="BG31" s="6">
        <f>BI31+BK31</f>
        <v>401</v>
      </c>
      <c r="BH31" s="6">
        <f>BJ31+BL31</f>
        <v>458899472</v>
      </c>
      <c r="BI31" s="6">
        <v>251</v>
      </c>
      <c r="BJ31" s="6">
        <v>344843567</v>
      </c>
      <c r="BK31" s="6">
        <v>150</v>
      </c>
      <c r="BL31" s="6">
        <v>114055905</v>
      </c>
      <c r="BM31" s="6">
        <f>BO31+BQ31</f>
        <v>201</v>
      </c>
      <c r="BN31" s="6">
        <f>BP31+BR31</f>
        <v>244839652</v>
      </c>
      <c r="BO31" s="6">
        <v>142</v>
      </c>
      <c r="BP31" s="6">
        <v>202066679</v>
      </c>
      <c r="BQ31" s="6">
        <v>59</v>
      </c>
      <c r="BR31" s="6">
        <v>42772973</v>
      </c>
      <c r="BS31" s="3" t="s">
        <v>43</v>
      </c>
      <c r="BT31" s="6">
        <v>0</v>
      </c>
      <c r="BU31" s="6">
        <v>0</v>
      </c>
      <c r="BV31" s="6">
        <v>0</v>
      </c>
      <c r="BW31" s="6">
        <v>0</v>
      </c>
      <c r="BX31" s="6">
        <v>0</v>
      </c>
      <c r="BY31" s="6">
        <v>0</v>
      </c>
      <c r="BZ31" s="6">
        <v>0</v>
      </c>
      <c r="CA31" s="6">
        <v>0</v>
      </c>
    </row>
    <row r="32" spans="1:79" ht="24" customHeight="1">
      <c r="A32" s="206"/>
      <c r="B32" s="208"/>
      <c r="C32" s="3" t="s">
        <v>44</v>
      </c>
      <c r="D32" s="45">
        <f t="shared" si="9"/>
        <v>972332.77777777775</v>
      </c>
      <c r="E32" s="45">
        <v>0</v>
      </c>
      <c r="F32" s="26">
        <f t="shared" si="11"/>
        <v>1087412.375</v>
      </c>
      <c r="G32" s="26">
        <f t="shared" si="12"/>
        <v>269526</v>
      </c>
      <c r="H32" s="45">
        <f t="shared" si="13"/>
        <v>1389322.3265306123</v>
      </c>
      <c r="I32" s="45">
        <f t="shared" si="14"/>
        <v>1088378.043478261</v>
      </c>
      <c r="J32" s="26">
        <f t="shared" si="15"/>
        <v>1612589.9</v>
      </c>
      <c r="K32" s="27">
        <f t="shared" si="16"/>
        <v>729119.33333333337</v>
      </c>
      <c r="O32" s="215"/>
      <c r="P32" s="3" t="s">
        <v>44</v>
      </c>
      <c r="Q32" s="8">
        <f t="shared" si="17"/>
        <v>972332.77777777775</v>
      </c>
      <c r="R32" s="6">
        <f>T32+V32</f>
        <v>9</v>
      </c>
      <c r="S32" s="6">
        <f>U32+W32</f>
        <v>8750995</v>
      </c>
      <c r="T32" s="6">
        <f>AW32</f>
        <v>9</v>
      </c>
      <c r="U32" s="6">
        <f>AX32-BT32</f>
        <v>8750995</v>
      </c>
      <c r="V32" s="6">
        <f>AY32</f>
        <v>0</v>
      </c>
      <c r="W32" s="6">
        <f>AZ32-BU32</f>
        <v>0</v>
      </c>
      <c r="X32" s="8">
        <f t="shared" si="19"/>
        <v>814783.58333333337</v>
      </c>
      <c r="Y32" s="6">
        <f>AA32+AC32</f>
        <v>12</v>
      </c>
      <c r="Z32" s="6">
        <f>AB32+AD32</f>
        <v>9777403</v>
      </c>
      <c r="AA32" s="6">
        <f t="shared" si="69"/>
        <v>8</v>
      </c>
      <c r="AB32" s="6">
        <f>BD32-BV32</f>
        <v>8699299</v>
      </c>
      <c r="AC32" s="6">
        <f t="shared" si="69"/>
        <v>4</v>
      </c>
      <c r="AD32" s="6">
        <f>BF32-BW32</f>
        <v>1078104</v>
      </c>
      <c r="AE32" s="8">
        <f t="shared" si="21"/>
        <v>1293187.3472222222</v>
      </c>
      <c r="AF32" s="6">
        <f>AH32+AJ32</f>
        <v>72</v>
      </c>
      <c r="AG32" s="6">
        <f>AI32+AK32</f>
        <v>93109489</v>
      </c>
      <c r="AH32" s="6">
        <f>BI32</f>
        <v>49</v>
      </c>
      <c r="AI32" s="6">
        <f>BJ32-BX32</f>
        <v>68076794</v>
      </c>
      <c r="AJ32" s="6">
        <f>BK32</f>
        <v>23</v>
      </c>
      <c r="AK32" s="6">
        <f>BL32-BY32</f>
        <v>25032695</v>
      </c>
      <c r="AL32" s="8">
        <f t="shared" si="23"/>
        <v>1281288.4375</v>
      </c>
      <c r="AM32" s="6">
        <f>AO32+AQ32</f>
        <v>32</v>
      </c>
      <c r="AN32" s="6">
        <f>AP32+AR32</f>
        <v>41001230</v>
      </c>
      <c r="AO32" s="6">
        <f t="shared" si="70"/>
        <v>20</v>
      </c>
      <c r="AP32" s="6">
        <f>BP32-BZ32</f>
        <v>32251798</v>
      </c>
      <c r="AQ32" s="6">
        <f t="shared" si="70"/>
        <v>12</v>
      </c>
      <c r="AR32" s="6">
        <f>BR32-CA32</f>
        <v>8749432</v>
      </c>
      <c r="AT32" s="3" t="s">
        <v>44</v>
      </c>
      <c r="AU32" s="6">
        <f>AW32+AY32</f>
        <v>9</v>
      </c>
      <c r="AV32" s="6">
        <f>AX32+AZ32</f>
        <v>8750995</v>
      </c>
      <c r="AW32" s="6">
        <v>9</v>
      </c>
      <c r="AX32" s="6">
        <v>8750995</v>
      </c>
      <c r="AY32" s="6">
        <v>0</v>
      </c>
      <c r="AZ32" s="6">
        <v>0</v>
      </c>
      <c r="BA32" s="6">
        <f>BC32+BE32</f>
        <v>12</v>
      </c>
      <c r="BB32" s="6">
        <f>BD32+BF32</f>
        <v>9777403</v>
      </c>
      <c r="BC32" s="6">
        <v>8</v>
      </c>
      <c r="BD32" s="6">
        <v>8699299</v>
      </c>
      <c r="BE32" s="6">
        <v>4</v>
      </c>
      <c r="BF32" s="6">
        <v>1078104</v>
      </c>
      <c r="BG32" s="6">
        <f>BI32+BK32</f>
        <v>72</v>
      </c>
      <c r="BH32" s="6">
        <f>BJ32+BL32</f>
        <v>93109489</v>
      </c>
      <c r="BI32" s="6">
        <v>49</v>
      </c>
      <c r="BJ32" s="6">
        <v>68076794</v>
      </c>
      <c r="BK32" s="6">
        <v>23</v>
      </c>
      <c r="BL32" s="6">
        <v>25032695</v>
      </c>
      <c r="BM32" s="6">
        <f>BO32+BQ32</f>
        <v>32</v>
      </c>
      <c r="BN32" s="6">
        <f>BP32+BR32</f>
        <v>41001230</v>
      </c>
      <c r="BO32" s="6">
        <v>20</v>
      </c>
      <c r="BP32" s="6">
        <v>32251798</v>
      </c>
      <c r="BQ32" s="6">
        <v>12</v>
      </c>
      <c r="BR32" s="6">
        <v>8749432</v>
      </c>
      <c r="BS32" s="3" t="s">
        <v>44</v>
      </c>
      <c r="BT32" s="6">
        <v>0</v>
      </c>
      <c r="BU32" s="6">
        <v>0</v>
      </c>
      <c r="BV32" s="6">
        <v>0</v>
      </c>
      <c r="BW32" s="6">
        <v>0</v>
      </c>
      <c r="BX32" s="6">
        <v>0</v>
      </c>
      <c r="BY32" s="6">
        <v>0</v>
      </c>
      <c r="BZ32" s="6">
        <v>0</v>
      </c>
      <c r="CA32" s="6">
        <v>0</v>
      </c>
    </row>
    <row r="33" spans="1:79" ht="27" customHeight="1">
      <c r="A33" s="206" t="s">
        <v>155</v>
      </c>
      <c r="B33" s="208" t="s">
        <v>74</v>
      </c>
      <c r="C33" s="16" t="s">
        <v>18</v>
      </c>
      <c r="D33" s="42">
        <f t="shared" si="9"/>
        <v>1132688.7959125745</v>
      </c>
      <c r="E33" s="42">
        <f t="shared" si="10"/>
        <v>1038630.5478998676</v>
      </c>
      <c r="F33" s="23">
        <f t="shared" si="11"/>
        <v>1086828.5610632026</v>
      </c>
      <c r="G33" s="23">
        <f t="shared" si="12"/>
        <v>972094.50072146603</v>
      </c>
      <c r="H33" s="42">
        <f t="shared" si="13"/>
        <v>1171201.9527318552</v>
      </c>
      <c r="I33" s="42">
        <f t="shared" si="14"/>
        <v>996491.88639583241</v>
      </c>
      <c r="J33" s="23">
        <f t="shared" si="15"/>
        <v>1187026.7159394012</v>
      </c>
      <c r="K33" s="24">
        <f t="shared" si="16"/>
        <v>943092.53413398843</v>
      </c>
      <c r="O33" s="212" t="s">
        <v>108</v>
      </c>
      <c r="P33" s="16" t="s">
        <v>18</v>
      </c>
      <c r="Q33" s="7">
        <f t="shared" si="17"/>
        <v>1087029.345514562</v>
      </c>
      <c r="R33" s="5">
        <f t="shared" ref="R33:W33" si="71">SUM(R34:R41)</f>
        <v>68466</v>
      </c>
      <c r="S33" s="5">
        <f t="shared" si="71"/>
        <v>74424551170</v>
      </c>
      <c r="T33" s="5">
        <f t="shared" si="71"/>
        <v>35230</v>
      </c>
      <c r="U33" s="5">
        <f t="shared" si="71"/>
        <v>39904626280</v>
      </c>
      <c r="V33" s="5">
        <f t="shared" si="71"/>
        <v>33236</v>
      </c>
      <c r="W33" s="5">
        <f t="shared" si="71"/>
        <v>34519924890</v>
      </c>
      <c r="X33" s="7">
        <f t="shared" si="19"/>
        <v>1031795.4930730987</v>
      </c>
      <c r="Y33" s="5">
        <f t="shared" ref="Y33:AD33" si="72">SUM(Y34:Y41)</f>
        <v>86691</v>
      </c>
      <c r="Z33" s="5">
        <f t="shared" si="72"/>
        <v>89447383090</v>
      </c>
      <c r="AA33" s="5">
        <f t="shared" si="72"/>
        <v>45109</v>
      </c>
      <c r="AB33" s="5">
        <f t="shared" si="72"/>
        <v>49025749561</v>
      </c>
      <c r="AC33" s="5">
        <f t="shared" si="72"/>
        <v>41582</v>
      </c>
      <c r="AD33" s="5">
        <f t="shared" si="72"/>
        <v>40421633529</v>
      </c>
      <c r="AE33" s="7">
        <f t="shared" si="21"/>
        <v>1080060.6968481278</v>
      </c>
      <c r="AF33" s="5">
        <f t="shared" ref="AF33:AK33" si="73">SUM(AF34:AF41)</f>
        <v>293635</v>
      </c>
      <c r="AG33" s="5">
        <f t="shared" si="73"/>
        <v>317143622719</v>
      </c>
      <c r="AH33" s="5">
        <f t="shared" si="73"/>
        <v>140454</v>
      </c>
      <c r="AI33" s="5">
        <f t="shared" si="73"/>
        <v>164499999069</v>
      </c>
      <c r="AJ33" s="5">
        <f t="shared" si="73"/>
        <v>153181</v>
      </c>
      <c r="AK33" s="5">
        <f t="shared" si="73"/>
        <v>152643623650</v>
      </c>
      <c r="AL33" s="7">
        <f t="shared" si="23"/>
        <v>1073783.8871829528</v>
      </c>
      <c r="AM33" s="5">
        <f t="shared" ref="AM33:AR33" si="74">SUM(AM34:AM41)</f>
        <v>142053</v>
      </c>
      <c r="AN33" s="5">
        <f t="shared" si="74"/>
        <v>152534222526</v>
      </c>
      <c r="AO33" s="5">
        <f t="shared" si="74"/>
        <v>76107</v>
      </c>
      <c r="AP33" s="5">
        <f t="shared" si="74"/>
        <v>90341042270</v>
      </c>
      <c r="AQ33" s="5">
        <f t="shared" si="74"/>
        <v>65946</v>
      </c>
      <c r="AR33" s="5">
        <f t="shared" si="74"/>
        <v>62193180256</v>
      </c>
      <c r="AT33" s="16" t="s">
        <v>18</v>
      </c>
      <c r="AU33" s="5">
        <f t="shared" ref="AU33:BR33" si="75">SUM(AU34:AU41)</f>
        <v>68466</v>
      </c>
      <c r="AV33" s="5">
        <f t="shared" si="75"/>
        <v>74424674320</v>
      </c>
      <c r="AW33" s="5">
        <f t="shared" si="75"/>
        <v>35230</v>
      </c>
      <c r="AX33" s="5">
        <f t="shared" si="75"/>
        <v>39904749430</v>
      </c>
      <c r="AY33" s="5">
        <f t="shared" si="75"/>
        <v>33236</v>
      </c>
      <c r="AZ33" s="5">
        <f t="shared" si="75"/>
        <v>34519924890</v>
      </c>
      <c r="BA33" s="5">
        <f t="shared" si="75"/>
        <v>86691</v>
      </c>
      <c r="BB33" s="5">
        <f t="shared" si="75"/>
        <v>89447306290</v>
      </c>
      <c r="BC33" s="5">
        <f t="shared" si="75"/>
        <v>45109</v>
      </c>
      <c r="BD33" s="5">
        <f t="shared" si="75"/>
        <v>49025749561</v>
      </c>
      <c r="BE33" s="5">
        <f t="shared" si="75"/>
        <v>41582</v>
      </c>
      <c r="BF33" s="5">
        <f t="shared" si="75"/>
        <v>40421556729</v>
      </c>
      <c r="BG33" s="5">
        <f t="shared" si="75"/>
        <v>293635</v>
      </c>
      <c r="BH33" s="5">
        <f t="shared" si="75"/>
        <v>317143713335</v>
      </c>
      <c r="BI33" s="5">
        <f t="shared" si="75"/>
        <v>140454</v>
      </c>
      <c r="BJ33" s="5">
        <f t="shared" si="75"/>
        <v>164500089685</v>
      </c>
      <c r="BK33" s="5">
        <f t="shared" si="75"/>
        <v>153181</v>
      </c>
      <c r="BL33" s="5">
        <f t="shared" si="75"/>
        <v>152643623650</v>
      </c>
      <c r="BM33" s="5">
        <f t="shared" si="75"/>
        <v>142053</v>
      </c>
      <c r="BN33" s="5">
        <f t="shared" si="75"/>
        <v>152534198134</v>
      </c>
      <c r="BO33" s="5">
        <f t="shared" si="75"/>
        <v>76107</v>
      </c>
      <c r="BP33" s="5">
        <f t="shared" si="75"/>
        <v>90341042270</v>
      </c>
      <c r="BQ33" s="5">
        <f t="shared" si="75"/>
        <v>65946</v>
      </c>
      <c r="BR33" s="5">
        <f t="shared" si="75"/>
        <v>62193155864</v>
      </c>
      <c r="BS33" s="16" t="s">
        <v>18</v>
      </c>
      <c r="BT33" s="5">
        <f t="shared" ref="BT33:CA33" si="76">SUM(BT34:BT41)</f>
        <v>123150</v>
      </c>
      <c r="BU33" s="9">
        <f t="shared" si="76"/>
        <v>0</v>
      </c>
      <c r="BV33" s="5">
        <f t="shared" si="76"/>
        <v>0</v>
      </c>
      <c r="BW33" s="9">
        <f t="shared" si="76"/>
        <v>-76800</v>
      </c>
      <c r="BX33" s="5">
        <f t="shared" si="76"/>
        <v>90616</v>
      </c>
      <c r="BY33" s="5">
        <f t="shared" si="76"/>
        <v>0</v>
      </c>
      <c r="BZ33" s="5">
        <f t="shared" si="76"/>
        <v>0</v>
      </c>
      <c r="CA33" s="7">
        <f t="shared" si="76"/>
        <v>-24392</v>
      </c>
    </row>
    <row r="34" spans="1:79" ht="27" customHeight="1">
      <c r="A34" s="206"/>
      <c r="B34" s="208"/>
      <c r="C34" s="3" t="s">
        <v>138</v>
      </c>
      <c r="D34" s="45">
        <v>0</v>
      </c>
      <c r="E34" s="45">
        <v>0</v>
      </c>
      <c r="F34" s="26">
        <v>0</v>
      </c>
      <c r="G34" s="26">
        <v>0</v>
      </c>
      <c r="H34" s="45">
        <v>0</v>
      </c>
      <c r="I34" s="45">
        <v>0</v>
      </c>
      <c r="J34" s="26">
        <v>0</v>
      </c>
      <c r="K34" s="27">
        <v>0</v>
      </c>
      <c r="O34" s="212"/>
      <c r="P34" s="3" t="s">
        <v>138</v>
      </c>
      <c r="Q34" s="6">
        <v>0</v>
      </c>
      <c r="R34" s="6">
        <f t="shared" ref="R34:R41" si="77">T34+V34</f>
        <v>0</v>
      </c>
      <c r="S34" s="6">
        <f t="shared" ref="S34:S41" si="78">U34+W34</f>
        <v>0</v>
      </c>
      <c r="T34" s="6">
        <f t="shared" ref="T34:T41" si="79">AW34</f>
        <v>0</v>
      </c>
      <c r="U34" s="6">
        <f t="shared" ref="U34:U41" si="80">AX34-BT34</f>
        <v>0</v>
      </c>
      <c r="V34" s="6">
        <f t="shared" ref="V34:V41" si="81">AY34</f>
        <v>0</v>
      </c>
      <c r="W34" s="6">
        <f t="shared" ref="W34:W41" si="82">AZ34-BU34</f>
        <v>0</v>
      </c>
      <c r="X34" s="6">
        <v>0</v>
      </c>
      <c r="Y34" s="6">
        <f t="shared" ref="Y34:Y41" si="83">AA34+AC34</f>
        <v>0</v>
      </c>
      <c r="Z34" s="6">
        <f t="shared" ref="Z34:Z41" si="84">AB34+AD34</f>
        <v>0</v>
      </c>
      <c r="AA34" s="6">
        <f t="shared" ref="AA34:AC41" si="85">BC34</f>
        <v>0</v>
      </c>
      <c r="AB34" s="6">
        <f t="shared" ref="AB34:AB41" si="86">BD34-BV34</f>
        <v>0</v>
      </c>
      <c r="AC34" s="6">
        <f t="shared" si="85"/>
        <v>0</v>
      </c>
      <c r="AD34" s="6">
        <f t="shared" ref="AD34:AD41" si="87">BF34-BW34</f>
        <v>0</v>
      </c>
      <c r="AE34" s="6">
        <v>0</v>
      </c>
      <c r="AF34" s="6">
        <f t="shared" ref="AF34:AF41" si="88">AH34+AJ34</f>
        <v>0</v>
      </c>
      <c r="AG34" s="6">
        <f t="shared" ref="AG34:AG41" si="89">AI34+AK34</f>
        <v>0</v>
      </c>
      <c r="AH34" s="6">
        <f t="shared" ref="AH34:AH41" si="90">BI34</f>
        <v>0</v>
      </c>
      <c r="AI34" s="6">
        <f t="shared" ref="AI34:AI41" si="91">BJ34-BX34</f>
        <v>0</v>
      </c>
      <c r="AJ34" s="6">
        <f t="shared" ref="AJ34:AJ41" si="92">BK34</f>
        <v>0</v>
      </c>
      <c r="AK34" s="6">
        <f t="shared" ref="AK34:AK41" si="93">BL34-BY34</f>
        <v>0</v>
      </c>
      <c r="AL34" s="6">
        <v>0</v>
      </c>
      <c r="AM34" s="6">
        <f t="shared" ref="AM34:AM41" si="94">AO34+AQ34</f>
        <v>0</v>
      </c>
      <c r="AN34" s="6">
        <f t="shared" ref="AN34:AN41" si="95">AP34+AR34</f>
        <v>0</v>
      </c>
      <c r="AO34" s="6">
        <f t="shared" ref="AO34:AQ41" si="96">BO34</f>
        <v>0</v>
      </c>
      <c r="AP34" s="6">
        <f t="shared" ref="AP34:AP41" si="97">BP34-BZ34</f>
        <v>0</v>
      </c>
      <c r="AQ34" s="6">
        <f t="shared" si="96"/>
        <v>0</v>
      </c>
      <c r="AR34" s="6">
        <f t="shared" ref="AR34:AR41" si="98">BR34-CA34</f>
        <v>0</v>
      </c>
      <c r="AT34" s="3" t="s">
        <v>138</v>
      </c>
      <c r="AU34" s="6">
        <f t="shared" ref="AU34:AU41" si="99">AW34+AY34</f>
        <v>0</v>
      </c>
      <c r="AV34" s="6">
        <f t="shared" ref="AV34:AV41" si="100">AX34+AZ34</f>
        <v>0</v>
      </c>
      <c r="AW34" s="6">
        <v>0</v>
      </c>
      <c r="AX34" s="6">
        <v>0</v>
      </c>
      <c r="AY34" s="6">
        <v>0</v>
      </c>
      <c r="AZ34" s="6">
        <v>0</v>
      </c>
      <c r="BA34" s="6">
        <f t="shared" ref="BA34:BA41" si="101">BC34+BE34</f>
        <v>0</v>
      </c>
      <c r="BB34" s="6">
        <f t="shared" ref="BB34:BB41" si="102">BD34+BF34</f>
        <v>0</v>
      </c>
      <c r="BC34" s="6">
        <v>0</v>
      </c>
      <c r="BD34" s="6">
        <v>0</v>
      </c>
      <c r="BE34" s="6">
        <v>0</v>
      </c>
      <c r="BF34" s="6">
        <v>0</v>
      </c>
      <c r="BG34" s="6">
        <f t="shared" ref="BG34:BG41" si="103">BI34+BK34</f>
        <v>0</v>
      </c>
      <c r="BH34" s="6">
        <f t="shared" ref="BH34:BH41" si="104">BJ34+BL34</f>
        <v>0</v>
      </c>
      <c r="BI34" s="6">
        <v>0</v>
      </c>
      <c r="BJ34" s="6">
        <v>0</v>
      </c>
      <c r="BK34" s="6">
        <v>0</v>
      </c>
      <c r="BL34" s="6">
        <v>0</v>
      </c>
      <c r="BM34" s="6">
        <f t="shared" ref="BM34:BM41" si="105">BO34+BQ34</f>
        <v>0</v>
      </c>
      <c r="BN34" s="6">
        <f t="shared" ref="BN34:BN41" si="106">BP34+BR34</f>
        <v>0</v>
      </c>
      <c r="BO34" s="6">
        <v>0</v>
      </c>
      <c r="BP34" s="6">
        <v>0</v>
      </c>
      <c r="BQ34" s="6">
        <v>0</v>
      </c>
      <c r="BR34" s="6">
        <v>0</v>
      </c>
      <c r="BS34" s="3" t="s">
        <v>138</v>
      </c>
      <c r="BT34" s="6">
        <v>0</v>
      </c>
      <c r="BU34" s="6">
        <v>0</v>
      </c>
      <c r="BV34" s="6">
        <v>0</v>
      </c>
      <c r="BW34" s="6">
        <v>0</v>
      </c>
      <c r="BX34" s="6">
        <v>0</v>
      </c>
      <c r="BY34" s="6">
        <v>0</v>
      </c>
      <c r="BZ34" s="6">
        <v>0</v>
      </c>
      <c r="CA34" s="6">
        <v>0</v>
      </c>
    </row>
    <row r="35" spans="1:79" ht="27" customHeight="1">
      <c r="A35" s="206"/>
      <c r="B35" s="208"/>
      <c r="C35" s="3" t="s">
        <v>0</v>
      </c>
      <c r="D35" s="45">
        <f t="shared" ref="D35:D41" si="107">U35/T35</f>
        <v>1000804.2857142857</v>
      </c>
      <c r="E35" s="45">
        <f t="shared" ref="E35:E41" si="108">W35/V35</f>
        <v>1068124.3333333333</v>
      </c>
      <c r="F35" s="26">
        <f t="shared" ref="F35:F41" si="109">AB35/AA35</f>
        <v>790537.66666666663</v>
      </c>
      <c r="G35" s="26">
        <f t="shared" ref="G35:G41" si="110">AD35/AC35</f>
        <v>1037135</v>
      </c>
      <c r="H35" s="45">
        <f t="shared" si="13"/>
        <v>962874.5</v>
      </c>
      <c r="I35" s="45">
        <f t="shared" si="14"/>
        <v>1085178.6363636365</v>
      </c>
      <c r="J35" s="26">
        <f t="shared" si="15"/>
        <v>940625</v>
      </c>
      <c r="K35" s="27">
        <f t="shared" si="16"/>
        <v>1035733.9285714285</v>
      </c>
      <c r="O35" s="212"/>
      <c r="P35" s="3" t="s">
        <v>0</v>
      </c>
      <c r="Q35" s="8">
        <f t="shared" ref="Q35:Q41" si="111">S35/R35</f>
        <v>1038671.8125</v>
      </c>
      <c r="R35" s="6">
        <f t="shared" si="77"/>
        <v>16</v>
      </c>
      <c r="S35" s="6">
        <f t="shared" si="78"/>
        <v>16618749</v>
      </c>
      <c r="T35" s="6">
        <f t="shared" si="79"/>
        <v>7</v>
      </c>
      <c r="U35" s="6">
        <f t="shared" si="80"/>
        <v>7005630</v>
      </c>
      <c r="V35" s="6">
        <f t="shared" si="81"/>
        <v>9</v>
      </c>
      <c r="W35" s="6">
        <f t="shared" si="82"/>
        <v>9613119</v>
      </c>
      <c r="X35" s="8">
        <f t="shared" ref="X35:X41" si="112">Z35/Y35</f>
        <v>957157.48648648651</v>
      </c>
      <c r="Y35" s="6">
        <f t="shared" si="83"/>
        <v>37</v>
      </c>
      <c r="Z35" s="6">
        <f t="shared" si="84"/>
        <v>35414827</v>
      </c>
      <c r="AA35" s="6">
        <f t="shared" si="85"/>
        <v>12</v>
      </c>
      <c r="AB35" s="6">
        <f t="shared" si="86"/>
        <v>9486452</v>
      </c>
      <c r="AC35" s="6">
        <f t="shared" si="85"/>
        <v>25</v>
      </c>
      <c r="AD35" s="6">
        <f t="shared" si="87"/>
        <v>25928375</v>
      </c>
      <c r="AE35" s="8">
        <f t="shared" si="21"/>
        <v>1026938.5714285715</v>
      </c>
      <c r="AF35" s="6">
        <f t="shared" si="88"/>
        <v>42</v>
      </c>
      <c r="AG35" s="6">
        <f t="shared" si="89"/>
        <v>43131420</v>
      </c>
      <c r="AH35" s="6">
        <f t="shared" si="90"/>
        <v>20</v>
      </c>
      <c r="AI35" s="6">
        <f t="shared" si="91"/>
        <v>19257490</v>
      </c>
      <c r="AJ35" s="6">
        <f t="shared" si="92"/>
        <v>22</v>
      </c>
      <c r="AK35" s="6">
        <f t="shared" si="93"/>
        <v>23873930</v>
      </c>
      <c r="AL35" s="8">
        <f t="shared" ref="AL35:AL41" si="113">AN35/AM35</f>
        <v>1026529.8387096775</v>
      </c>
      <c r="AM35" s="6">
        <f t="shared" si="94"/>
        <v>31</v>
      </c>
      <c r="AN35" s="6">
        <f t="shared" si="95"/>
        <v>31822425</v>
      </c>
      <c r="AO35" s="6">
        <f t="shared" si="96"/>
        <v>3</v>
      </c>
      <c r="AP35" s="6">
        <f t="shared" si="97"/>
        <v>2821875</v>
      </c>
      <c r="AQ35" s="6">
        <f t="shared" si="96"/>
        <v>28</v>
      </c>
      <c r="AR35" s="6">
        <f t="shared" si="98"/>
        <v>29000550</v>
      </c>
      <c r="AT35" s="3" t="s">
        <v>0</v>
      </c>
      <c r="AU35" s="6">
        <f t="shared" si="99"/>
        <v>16</v>
      </c>
      <c r="AV35" s="6">
        <f t="shared" si="100"/>
        <v>16618749</v>
      </c>
      <c r="AW35" s="6">
        <v>7</v>
      </c>
      <c r="AX35" s="6">
        <v>7005630</v>
      </c>
      <c r="AY35" s="6">
        <v>9</v>
      </c>
      <c r="AZ35" s="6">
        <v>9613119</v>
      </c>
      <c r="BA35" s="6">
        <f t="shared" si="101"/>
        <v>37</v>
      </c>
      <c r="BB35" s="6">
        <f t="shared" si="102"/>
        <v>35414827</v>
      </c>
      <c r="BC35" s="6">
        <v>12</v>
      </c>
      <c r="BD35" s="6">
        <v>9486452</v>
      </c>
      <c r="BE35" s="6">
        <v>25</v>
      </c>
      <c r="BF35" s="6">
        <v>25928375</v>
      </c>
      <c r="BG35" s="6">
        <f t="shared" si="103"/>
        <v>42</v>
      </c>
      <c r="BH35" s="6">
        <f t="shared" si="104"/>
        <v>43131420</v>
      </c>
      <c r="BI35" s="6">
        <v>20</v>
      </c>
      <c r="BJ35" s="6">
        <v>19257490</v>
      </c>
      <c r="BK35" s="6">
        <v>22</v>
      </c>
      <c r="BL35" s="6">
        <v>23873930</v>
      </c>
      <c r="BM35" s="6">
        <f t="shared" si="105"/>
        <v>31</v>
      </c>
      <c r="BN35" s="6">
        <f t="shared" si="106"/>
        <v>31822425</v>
      </c>
      <c r="BO35" s="6">
        <v>3</v>
      </c>
      <c r="BP35" s="6">
        <v>2821875</v>
      </c>
      <c r="BQ35" s="6">
        <v>28</v>
      </c>
      <c r="BR35" s="6">
        <v>29000550</v>
      </c>
      <c r="BS35" s="3" t="s">
        <v>0</v>
      </c>
      <c r="BT35" s="6">
        <v>0</v>
      </c>
      <c r="BU35" s="6">
        <v>0</v>
      </c>
      <c r="BV35" s="6">
        <v>0</v>
      </c>
      <c r="BW35" s="6">
        <v>0</v>
      </c>
      <c r="BX35" s="6">
        <v>0</v>
      </c>
      <c r="BY35" s="6">
        <v>0</v>
      </c>
      <c r="BZ35" s="6">
        <v>0</v>
      </c>
      <c r="CA35" s="6">
        <v>0</v>
      </c>
    </row>
    <row r="36" spans="1:79" ht="27" customHeight="1">
      <c r="A36" s="206"/>
      <c r="B36" s="208"/>
      <c r="C36" s="3" t="s">
        <v>1</v>
      </c>
      <c r="D36" s="45">
        <f t="shared" si="107"/>
        <v>1108818.1862348178</v>
      </c>
      <c r="E36" s="45">
        <f t="shared" si="108"/>
        <v>1236272.388090349</v>
      </c>
      <c r="F36" s="26">
        <f t="shared" si="109"/>
        <v>1158291.9795221842</v>
      </c>
      <c r="G36" s="26">
        <f t="shared" si="110"/>
        <v>1265011.0245398772</v>
      </c>
      <c r="H36" s="45">
        <f t="shared" si="13"/>
        <v>1269327.8797709923</v>
      </c>
      <c r="I36" s="45">
        <f t="shared" si="14"/>
        <v>1215264.8880484116</v>
      </c>
      <c r="J36" s="26">
        <f t="shared" si="15"/>
        <v>1200891.4700239808</v>
      </c>
      <c r="K36" s="27">
        <f t="shared" si="16"/>
        <v>1211838.317791411</v>
      </c>
      <c r="O36" s="212"/>
      <c r="P36" s="3" t="s">
        <v>1</v>
      </c>
      <c r="Q36" s="8">
        <f t="shared" si="111"/>
        <v>1193382.4863760218</v>
      </c>
      <c r="R36" s="6">
        <f t="shared" si="77"/>
        <v>734</v>
      </c>
      <c r="S36" s="6">
        <f t="shared" si="78"/>
        <v>875942745</v>
      </c>
      <c r="T36" s="6">
        <f t="shared" si="79"/>
        <v>247</v>
      </c>
      <c r="U36" s="6">
        <f t="shared" si="80"/>
        <v>273878092</v>
      </c>
      <c r="V36" s="6">
        <f t="shared" si="81"/>
        <v>487</v>
      </c>
      <c r="W36" s="6">
        <f t="shared" si="82"/>
        <v>602064653</v>
      </c>
      <c r="X36" s="8">
        <f t="shared" si="112"/>
        <v>1236790.1940433213</v>
      </c>
      <c r="Y36" s="6">
        <f t="shared" si="83"/>
        <v>1108</v>
      </c>
      <c r="Z36" s="6">
        <f t="shared" si="84"/>
        <v>1370363535</v>
      </c>
      <c r="AA36" s="6">
        <f t="shared" si="85"/>
        <v>293</v>
      </c>
      <c r="AB36" s="6">
        <f t="shared" si="86"/>
        <v>339379550</v>
      </c>
      <c r="AC36" s="6">
        <f t="shared" si="85"/>
        <v>815</v>
      </c>
      <c r="AD36" s="6">
        <f t="shared" si="87"/>
        <v>1030983985</v>
      </c>
      <c r="AE36" s="8">
        <f t="shared" si="21"/>
        <v>1230611.0460455038</v>
      </c>
      <c r="AF36" s="6">
        <f t="shared" si="88"/>
        <v>1846</v>
      </c>
      <c r="AG36" s="6">
        <f t="shared" si="89"/>
        <v>2271707991</v>
      </c>
      <c r="AH36" s="6">
        <f t="shared" si="90"/>
        <v>524</v>
      </c>
      <c r="AI36" s="6">
        <f t="shared" si="91"/>
        <v>665127809</v>
      </c>
      <c r="AJ36" s="6">
        <f t="shared" si="92"/>
        <v>1322</v>
      </c>
      <c r="AK36" s="6">
        <f t="shared" si="93"/>
        <v>1606580182</v>
      </c>
      <c r="AL36" s="8">
        <f t="shared" si="113"/>
        <v>1208133.0941558441</v>
      </c>
      <c r="AM36" s="6">
        <f t="shared" si="94"/>
        <v>1232</v>
      </c>
      <c r="AN36" s="6">
        <f t="shared" si="95"/>
        <v>1488419972</v>
      </c>
      <c r="AO36" s="6">
        <f t="shared" si="96"/>
        <v>417</v>
      </c>
      <c r="AP36" s="6">
        <f t="shared" si="97"/>
        <v>500771743</v>
      </c>
      <c r="AQ36" s="6">
        <f t="shared" si="96"/>
        <v>815</v>
      </c>
      <c r="AR36" s="6">
        <f t="shared" si="98"/>
        <v>987648229</v>
      </c>
      <c r="AT36" s="3" t="s">
        <v>1</v>
      </c>
      <c r="AU36" s="6">
        <f t="shared" si="99"/>
        <v>734</v>
      </c>
      <c r="AV36" s="6">
        <f t="shared" si="100"/>
        <v>875942745</v>
      </c>
      <c r="AW36" s="6">
        <v>247</v>
      </c>
      <c r="AX36" s="6">
        <v>273878092</v>
      </c>
      <c r="AY36" s="6">
        <v>487</v>
      </c>
      <c r="AZ36" s="6">
        <v>602064653</v>
      </c>
      <c r="BA36" s="6">
        <f t="shared" si="101"/>
        <v>1108</v>
      </c>
      <c r="BB36" s="6">
        <f t="shared" si="102"/>
        <v>1370363535</v>
      </c>
      <c r="BC36" s="6">
        <v>293</v>
      </c>
      <c r="BD36" s="6">
        <v>339379550</v>
      </c>
      <c r="BE36" s="6">
        <v>815</v>
      </c>
      <c r="BF36" s="6">
        <v>1030983985</v>
      </c>
      <c r="BG36" s="6">
        <f t="shared" si="103"/>
        <v>1846</v>
      </c>
      <c r="BH36" s="6">
        <f t="shared" si="104"/>
        <v>2271707991</v>
      </c>
      <c r="BI36" s="6">
        <v>524</v>
      </c>
      <c r="BJ36" s="6">
        <v>665127809</v>
      </c>
      <c r="BK36" s="6">
        <v>1322</v>
      </c>
      <c r="BL36" s="6">
        <v>1606580182</v>
      </c>
      <c r="BM36" s="6">
        <f t="shared" si="105"/>
        <v>1232</v>
      </c>
      <c r="BN36" s="6">
        <f t="shared" si="106"/>
        <v>1488419972</v>
      </c>
      <c r="BO36" s="6">
        <v>417</v>
      </c>
      <c r="BP36" s="6">
        <v>500771743</v>
      </c>
      <c r="BQ36" s="6">
        <v>815</v>
      </c>
      <c r="BR36" s="6">
        <v>987648229</v>
      </c>
      <c r="BS36" s="3" t="s">
        <v>1</v>
      </c>
      <c r="BT36" s="6">
        <v>0</v>
      </c>
      <c r="BU36" s="6">
        <v>0</v>
      </c>
      <c r="BV36" s="6">
        <v>0</v>
      </c>
      <c r="BW36" s="6">
        <v>0</v>
      </c>
      <c r="BX36" s="6">
        <v>0</v>
      </c>
      <c r="BY36" s="6">
        <v>0</v>
      </c>
      <c r="BZ36" s="6">
        <v>0</v>
      </c>
      <c r="CA36" s="6">
        <v>0</v>
      </c>
    </row>
    <row r="37" spans="1:79" ht="27" customHeight="1">
      <c r="A37" s="206"/>
      <c r="B37" s="208"/>
      <c r="C37" s="3" t="s">
        <v>2</v>
      </c>
      <c r="D37" s="45">
        <f t="shared" si="107"/>
        <v>1394903.9249478804</v>
      </c>
      <c r="E37" s="45">
        <f t="shared" si="108"/>
        <v>1359735.0221238937</v>
      </c>
      <c r="F37" s="26">
        <f t="shared" si="109"/>
        <v>1440431.3141662311</v>
      </c>
      <c r="G37" s="26">
        <f t="shared" si="110"/>
        <v>1369740.0223752151</v>
      </c>
      <c r="H37" s="45">
        <f t="shared" si="13"/>
        <v>1460977.0017820017</v>
      </c>
      <c r="I37" s="45">
        <f t="shared" si="14"/>
        <v>1362230.0837438423</v>
      </c>
      <c r="J37" s="26">
        <f t="shared" si="15"/>
        <v>1458989.6043383947</v>
      </c>
      <c r="K37" s="27">
        <f t="shared" si="16"/>
        <v>1352663.0998995984</v>
      </c>
      <c r="O37" s="212"/>
      <c r="P37" s="3" t="s">
        <v>2</v>
      </c>
      <c r="Q37" s="8">
        <f t="shared" si="111"/>
        <v>1376487.1079112876</v>
      </c>
      <c r="R37" s="6">
        <f t="shared" si="77"/>
        <v>3021</v>
      </c>
      <c r="S37" s="6">
        <f t="shared" si="78"/>
        <v>4158367553</v>
      </c>
      <c r="T37" s="6">
        <f t="shared" si="79"/>
        <v>1439</v>
      </c>
      <c r="U37" s="6">
        <f t="shared" si="80"/>
        <v>2007266748</v>
      </c>
      <c r="V37" s="6">
        <f t="shared" si="81"/>
        <v>1582</v>
      </c>
      <c r="W37" s="6">
        <f t="shared" si="82"/>
        <v>2151100805</v>
      </c>
      <c r="X37" s="8">
        <f t="shared" si="112"/>
        <v>1406729.2021334793</v>
      </c>
      <c r="Y37" s="6">
        <f t="shared" si="83"/>
        <v>3656</v>
      </c>
      <c r="Z37" s="6">
        <f t="shared" si="84"/>
        <v>5143001963</v>
      </c>
      <c r="AA37" s="6">
        <f t="shared" si="85"/>
        <v>1913</v>
      </c>
      <c r="AB37" s="6">
        <f t="shared" si="86"/>
        <v>2755545104</v>
      </c>
      <c r="AC37" s="6">
        <f t="shared" si="85"/>
        <v>1743</v>
      </c>
      <c r="AD37" s="6">
        <f t="shared" si="87"/>
        <v>2387456859</v>
      </c>
      <c r="AE37" s="8">
        <f t="shared" si="21"/>
        <v>1409585.2857142857</v>
      </c>
      <c r="AF37" s="6">
        <f t="shared" si="88"/>
        <v>7021</v>
      </c>
      <c r="AG37" s="6">
        <f t="shared" si="89"/>
        <v>9896698291</v>
      </c>
      <c r="AH37" s="6">
        <f t="shared" si="90"/>
        <v>3367</v>
      </c>
      <c r="AI37" s="6">
        <f t="shared" si="91"/>
        <v>4919109565</v>
      </c>
      <c r="AJ37" s="6">
        <f t="shared" si="92"/>
        <v>3654</v>
      </c>
      <c r="AK37" s="6">
        <f t="shared" si="93"/>
        <v>4977588726</v>
      </c>
      <c r="AL37" s="8">
        <f t="shared" si="113"/>
        <v>1409698.8440772633</v>
      </c>
      <c r="AM37" s="6">
        <f t="shared" si="94"/>
        <v>4297</v>
      </c>
      <c r="AN37" s="6">
        <f t="shared" si="95"/>
        <v>6057475933</v>
      </c>
      <c r="AO37" s="6">
        <f t="shared" si="96"/>
        <v>2305</v>
      </c>
      <c r="AP37" s="6">
        <f t="shared" si="97"/>
        <v>3362971038</v>
      </c>
      <c r="AQ37" s="6">
        <f t="shared" si="96"/>
        <v>1992</v>
      </c>
      <c r="AR37" s="6">
        <f t="shared" si="98"/>
        <v>2694504895</v>
      </c>
      <c r="AT37" s="3" t="s">
        <v>2</v>
      </c>
      <c r="AU37" s="6">
        <f t="shared" si="99"/>
        <v>3021</v>
      </c>
      <c r="AV37" s="6">
        <f t="shared" si="100"/>
        <v>4158367553</v>
      </c>
      <c r="AW37" s="6">
        <v>1439</v>
      </c>
      <c r="AX37" s="6">
        <v>2007266748</v>
      </c>
      <c r="AY37" s="6">
        <v>1582</v>
      </c>
      <c r="AZ37" s="6">
        <v>2151100805</v>
      </c>
      <c r="BA37" s="6">
        <f t="shared" si="101"/>
        <v>3656</v>
      </c>
      <c r="BB37" s="6">
        <f t="shared" si="102"/>
        <v>5143001963</v>
      </c>
      <c r="BC37" s="6">
        <v>1913</v>
      </c>
      <c r="BD37" s="6">
        <v>2755545104</v>
      </c>
      <c r="BE37" s="6">
        <v>1743</v>
      </c>
      <c r="BF37" s="6">
        <v>2387456859</v>
      </c>
      <c r="BG37" s="6">
        <f t="shared" si="103"/>
        <v>7021</v>
      </c>
      <c r="BH37" s="6">
        <f t="shared" si="104"/>
        <v>9896698291</v>
      </c>
      <c r="BI37" s="6">
        <v>3367</v>
      </c>
      <c r="BJ37" s="6">
        <v>4919109565</v>
      </c>
      <c r="BK37" s="6">
        <v>3654</v>
      </c>
      <c r="BL37" s="6">
        <v>4977588726</v>
      </c>
      <c r="BM37" s="6">
        <f t="shared" si="105"/>
        <v>4297</v>
      </c>
      <c r="BN37" s="6">
        <f t="shared" si="106"/>
        <v>6057475933</v>
      </c>
      <c r="BO37" s="6">
        <v>2305</v>
      </c>
      <c r="BP37" s="6">
        <v>3362971038</v>
      </c>
      <c r="BQ37" s="6">
        <v>1992</v>
      </c>
      <c r="BR37" s="6">
        <v>2694504895</v>
      </c>
      <c r="BS37" s="3" t="s">
        <v>2</v>
      </c>
      <c r="BT37" s="6">
        <v>0</v>
      </c>
      <c r="BU37" s="6">
        <v>0</v>
      </c>
      <c r="BV37" s="6">
        <v>0</v>
      </c>
      <c r="BW37" s="6">
        <v>0</v>
      </c>
      <c r="BX37" s="6">
        <v>0</v>
      </c>
      <c r="BY37" s="6">
        <v>0</v>
      </c>
      <c r="BZ37" s="6">
        <v>0</v>
      </c>
      <c r="CA37" s="6">
        <v>0</v>
      </c>
    </row>
    <row r="38" spans="1:79" ht="27" customHeight="1">
      <c r="A38" s="206"/>
      <c r="B38" s="208"/>
      <c r="C38" s="3" t="s">
        <v>3</v>
      </c>
      <c r="D38" s="45">
        <f t="shared" si="107"/>
        <v>1353283.4501310312</v>
      </c>
      <c r="E38" s="45">
        <f t="shared" si="108"/>
        <v>1261446.2150428344</v>
      </c>
      <c r="F38" s="26">
        <f t="shared" si="109"/>
        <v>1347826.0764627659</v>
      </c>
      <c r="G38" s="26">
        <f t="shared" si="110"/>
        <v>1217759.556839155</v>
      </c>
      <c r="H38" s="45">
        <f t="shared" si="13"/>
        <v>1419903.4546117922</v>
      </c>
      <c r="I38" s="45">
        <f t="shared" si="14"/>
        <v>1249969.4864624015</v>
      </c>
      <c r="J38" s="26">
        <f t="shared" si="15"/>
        <v>1420575.5205332516</v>
      </c>
      <c r="K38" s="27">
        <f t="shared" si="16"/>
        <v>1232648.3080980813</v>
      </c>
      <c r="O38" s="212"/>
      <c r="P38" s="3" t="s">
        <v>3</v>
      </c>
      <c r="Q38" s="8">
        <f t="shared" si="111"/>
        <v>1305991.4628383431</v>
      </c>
      <c r="R38" s="6">
        <f t="shared" si="77"/>
        <v>26748</v>
      </c>
      <c r="S38" s="6">
        <f t="shared" si="78"/>
        <v>34932659648</v>
      </c>
      <c r="T38" s="6">
        <f t="shared" si="79"/>
        <v>12974</v>
      </c>
      <c r="U38" s="6">
        <f t="shared" si="80"/>
        <v>17557499482</v>
      </c>
      <c r="V38" s="6">
        <f t="shared" si="81"/>
        <v>13774</v>
      </c>
      <c r="W38" s="6">
        <f t="shared" si="82"/>
        <v>17375160166</v>
      </c>
      <c r="X38" s="8">
        <f t="shared" si="112"/>
        <v>1283693.7121911759</v>
      </c>
      <c r="Y38" s="6">
        <f t="shared" si="83"/>
        <v>29669</v>
      </c>
      <c r="Z38" s="6">
        <f t="shared" si="84"/>
        <v>38085908747</v>
      </c>
      <c r="AA38" s="6">
        <f t="shared" si="85"/>
        <v>15040</v>
      </c>
      <c r="AB38" s="6">
        <f t="shared" si="86"/>
        <v>20271304190</v>
      </c>
      <c r="AC38" s="6">
        <f t="shared" si="85"/>
        <v>14629</v>
      </c>
      <c r="AD38" s="6">
        <f t="shared" si="87"/>
        <v>17814604557</v>
      </c>
      <c r="AE38" s="8">
        <f t="shared" si="21"/>
        <v>1330368.5549832212</v>
      </c>
      <c r="AF38" s="6">
        <f t="shared" si="88"/>
        <v>72413</v>
      </c>
      <c r="AG38" s="6">
        <f t="shared" si="89"/>
        <v>96335978172</v>
      </c>
      <c r="AH38" s="6">
        <f t="shared" si="90"/>
        <v>34260</v>
      </c>
      <c r="AI38" s="6">
        <f t="shared" si="91"/>
        <v>48645892355</v>
      </c>
      <c r="AJ38" s="6">
        <f t="shared" si="92"/>
        <v>38153</v>
      </c>
      <c r="AK38" s="6">
        <f t="shared" si="93"/>
        <v>47690085817</v>
      </c>
      <c r="AL38" s="8">
        <f t="shared" si="113"/>
        <v>1332548.9017893507</v>
      </c>
      <c r="AM38" s="6">
        <f t="shared" si="94"/>
        <v>36829</v>
      </c>
      <c r="AN38" s="6">
        <f t="shared" si="95"/>
        <v>49076443504</v>
      </c>
      <c r="AO38" s="6">
        <f t="shared" si="96"/>
        <v>19578</v>
      </c>
      <c r="AP38" s="6">
        <f t="shared" si="97"/>
        <v>27812027541</v>
      </c>
      <c r="AQ38" s="6">
        <f t="shared" si="96"/>
        <v>17251</v>
      </c>
      <c r="AR38" s="6">
        <f t="shared" si="98"/>
        <v>21264415963</v>
      </c>
      <c r="AT38" s="3" t="s">
        <v>3</v>
      </c>
      <c r="AU38" s="6">
        <f t="shared" si="99"/>
        <v>26748</v>
      </c>
      <c r="AV38" s="6">
        <f t="shared" si="100"/>
        <v>34932659648</v>
      </c>
      <c r="AW38" s="6">
        <v>12974</v>
      </c>
      <c r="AX38" s="6">
        <v>17557499482</v>
      </c>
      <c r="AY38" s="6">
        <v>13774</v>
      </c>
      <c r="AZ38" s="6">
        <v>17375160166</v>
      </c>
      <c r="BA38" s="6">
        <f t="shared" si="101"/>
        <v>29669</v>
      </c>
      <c r="BB38" s="6">
        <f t="shared" si="102"/>
        <v>38085908747</v>
      </c>
      <c r="BC38" s="6">
        <v>15040</v>
      </c>
      <c r="BD38" s="6">
        <v>20271304190</v>
      </c>
      <c r="BE38" s="6">
        <v>14629</v>
      </c>
      <c r="BF38" s="6">
        <v>17814604557</v>
      </c>
      <c r="BG38" s="6">
        <f t="shared" si="103"/>
        <v>72413</v>
      </c>
      <c r="BH38" s="6">
        <f t="shared" si="104"/>
        <v>96335978172</v>
      </c>
      <c r="BI38" s="6">
        <v>34260</v>
      </c>
      <c r="BJ38" s="6">
        <v>48645892355</v>
      </c>
      <c r="BK38" s="6">
        <v>38153</v>
      </c>
      <c r="BL38" s="6">
        <v>47690085817</v>
      </c>
      <c r="BM38" s="6">
        <f t="shared" si="105"/>
        <v>36829</v>
      </c>
      <c r="BN38" s="6">
        <f t="shared" si="106"/>
        <v>49076443504</v>
      </c>
      <c r="BO38" s="6">
        <v>19578</v>
      </c>
      <c r="BP38" s="6">
        <v>27812027541</v>
      </c>
      <c r="BQ38" s="6">
        <v>17251</v>
      </c>
      <c r="BR38" s="6">
        <v>21264415963</v>
      </c>
      <c r="BS38" s="3" t="s">
        <v>3</v>
      </c>
      <c r="BT38" s="6">
        <v>0</v>
      </c>
      <c r="BU38" s="6">
        <v>0</v>
      </c>
      <c r="BV38" s="6">
        <v>0</v>
      </c>
      <c r="BW38" s="6">
        <v>0</v>
      </c>
      <c r="BX38" s="6">
        <v>0</v>
      </c>
      <c r="BY38" s="6">
        <v>0</v>
      </c>
      <c r="BZ38" s="6">
        <v>0</v>
      </c>
      <c r="CA38" s="6">
        <v>0</v>
      </c>
    </row>
    <row r="39" spans="1:79" ht="27" customHeight="1">
      <c r="A39" s="206"/>
      <c r="B39" s="208"/>
      <c r="C39" s="3" t="s">
        <v>4</v>
      </c>
      <c r="D39" s="45">
        <f t="shared" si="107"/>
        <v>1045222.8932160804</v>
      </c>
      <c r="E39" s="45">
        <f t="shared" si="108"/>
        <v>841098.16883958213</v>
      </c>
      <c r="F39" s="26">
        <f t="shared" si="109"/>
        <v>1001724.8341460478</v>
      </c>
      <c r="G39" s="26">
        <f t="shared" si="110"/>
        <v>802123.13122451503</v>
      </c>
      <c r="H39" s="45">
        <f t="shared" si="13"/>
        <v>1170181.8780646606</v>
      </c>
      <c r="I39" s="45">
        <f t="shared" si="14"/>
        <v>918453.70468975347</v>
      </c>
      <c r="J39" s="26">
        <f t="shared" si="15"/>
        <v>1187750.5408712288</v>
      </c>
      <c r="K39" s="27">
        <f t="shared" si="16"/>
        <v>829658.75901870255</v>
      </c>
      <c r="O39" s="212"/>
      <c r="P39" s="3" t="s">
        <v>4</v>
      </c>
      <c r="Q39" s="8">
        <f t="shared" si="111"/>
        <v>944735.10285030899</v>
      </c>
      <c r="R39" s="6">
        <f t="shared" si="77"/>
        <v>25085</v>
      </c>
      <c r="S39" s="6">
        <f t="shared" si="78"/>
        <v>23698680055</v>
      </c>
      <c r="T39" s="6">
        <f t="shared" si="79"/>
        <v>12736</v>
      </c>
      <c r="U39" s="6">
        <f t="shared" si="80"/>
        <v>13311958768</v>
      </c>
      <c r="V39" s="6">
        <f t="shared" si="81"/>
        <v>12349</v>
      </c>
      <c r="W39" s="6">
        <f t="shared" si="82"/>
        <v>10386721287</v>
      </c>
      <c r="X39" s="8">
        <f t="shared" si="112"/>
        <v>903217.25224868127</v>
      </c>
      <c r="Y39" s="6">
        <f t="shared" si="83"/>
        <v>32797</v>
      </c>
      <c r="Z39" s="6">
        <f t="shared" si="84"/>
        <v>29622816222</v>
      </c>
      <c r="AA39" s="6">
        <f t="shared" si="85"/>
        <v>16611</v>
      </c>
      <c r="AB39" s="6">
        <f t="shared" si="86"/>
        <v>16639651220</v>
      </c>
      <c r="AC39" s="6">
        <f t="shared" si="85"/>
        <v>16186</v>
      </c>
      <c r="AD39" s="6">
        <f t="shared" si="87"/>
        <v>12983165002</v>
      </c>
      <c r="AE39" s="8">
        <f t="shared" si="21"/>
        <v>1031470.62219563</v>
      </c>
      <c r="AF39" s="6">
        <f t="shared" si="88"/>
        <v>109472</v>
      </c>
      <c r="AG39" s="6">
        <f t="shared" si="89"/>
        <v>112917151953</v>
      </c>
      <c r="AH39" s="6">
        <f t="shared" si="90"/>
        <v>49149</v>
      </c>
      <c r="AI39" s="6">
        <f t="shared" si="91"/>
        <v>57513269125</v>
      </c>
      <c r="AJ39" s="6">
        <f t="shared" si="92"/>
        <v>60323</v>
      </c>
      <c r="AK39" s="6">
        <f t="shared" si="93"/>
        <v>55403882828</v>
      </c>
      <c r="AL39" s="8">
        <f t="shared" si="113"/>
        <v>1007053.7894923888</v>
      </c>
      <c r="AM39" s="6">
        <f t="shared" si="94"/>
        <v>50649</v>
      </c>
      <c r="AN39" s="6">
        <f t="shared" si="95"/>
        <v>51006267384</v>
      </c>
      <c r="AO39" s="6">
        <f t="shared" si="96"/>
        <v>25091</v>
      </c>
      <c r="AP39" s="6">
        <f t="shared" si="97"/>
        <v>29801848821</v>
      </c>
      <c r="AQ39" s="6">
        <f t="shared" si="96"/>
        <v>25558</v>
      </c>
      <c r="AR39" s="6">
        <f t="shared" si="98"/>
        <v>21204418563</v>
      </c>
      <c r="AT39" s="3" t="s">
        <v>4</v>
      </c>
      <c r="AU39" s="6">
        <f t="shared" si="99"/>
        <v>25085</v>
      </c>
      <c r="AV39" s="6">
        <f t="shared" si="100"/>
        <v>23698746055</v>
      </c>
      <c r="AW39" s="6">
        <v>12736</v>
      </c>
      <c r="AX39" s="6">
        <v>13312024768</v>
      </c>
      <c r="AY39" s="6">
        <v>12349</v>
      </c>
      <c r="AZ39" s="6">
        <v>10386721287</v>
      </c>
      <c r="BA39" s="6">
        <f t="shared" si="101"/>
        <v>32797</v>
      </c>
      <c r="BB39" s="6">
        <f t="shared" si="102"/>
        <v>29622816222</v>
      </c>
      <c r="BC39" s="6">
        <v>16611</v>
      </c>
      <c r="BD39" s="6">
        <v>16639651220</v>
      </c>
      <c r="BE39" s="6">
        <v>16186</v>
      </c>
      <c r="BF39" s="6">
        <v>12983165002</v>
      </c>
      <c r="BG39" s="6">
        <f t="shared" si="103"/>
        <v>109472</v>
      </c>
      <c r="BH39" s="6">
        <f t="shared" si="104"/>
        <v>112917186703</v>
      </c>
      <c r="BI39" s="6">
        <v>49149</v>
      </c>
      <c r="BJ39" s="6">
        <v>57513303875</v>
      </c>
      <c r="BK39" s="6">
        <v>60323</v>
      </c>
      <c r="BL39" s="6">
        <v>55403882828</v>
      </c>
      <c r="BM39" s="6">
        <f t="shared" si="105"/>
        <v>50649</v>
      </c>
      <c r="BN39" s="6">
        <f t="shared" si="106"/>
        <v>51006242992</v>
      </c>
      <c r="BO39" s="6">
        <v>25091</v>
      </c>
      <c r="BP39" s="6">
        <v>29801848821</v>
      </c>
      <c r="BQ39" s="6">
        <v>25558</v>
      </c>
      <c r="BR39" s="6">
        <v>21204394171</v>
      </c>
      <c r="BS39" s="3" t="s">
        <v>4</v>
      </c>
      <c r="BT39" s="6">
        <v>66000</v>
      </c>
      <c r="BU39" s="6">
        <v>0</v>
      </c>
      <c r="BV39" s="6">
        <v>0</v>
      </c>
      <c r="BW39" s="6">
        <v>0</v>
      </c>
      <c r="BX39" s="6">
        <v>34750</v>
      </c>
      <c r="BY39" s="6">
        <v>0</v>
      </c>
      <c r="BZ39" s="6">
        <v>0</v>
      </c>
      <c r="CA39" s="8">
        <v>-24392</v>
      </c>
    </row>
    <row r="40" spans="1:79" ht="27" customHeight="1">
      <c r="A40" s="206"/>
      <c r="B40" s="208"/>
      <c r="C40" s="3" t="s">
        <v>5</v>
      </c>
      <c r="D40" s="45">
        <f t="shared" si="107"/>
        <v>893306.21552511421</v>
      </c>
      <c r="E40" s="45">
        <f t="shared" si="108"/>
        <v>823270.10015698592</v>
      </c>
      <c r="F40" s="26">
        <f t="shared" si="109"/>
        <v>833954.46832235169</v>
      </c>
      <c r="G40" s="26">
        <f t="shared" si="110"/>
        <v>797197.12147306709</v>
      </c>
      <c r="H40" s="45">
        <f t="shared" si="13"/>
        <v>1054595.2275673565</v>
      </c>
      <c r="I40" s="45">
        <f t="shared" si="14"/>
        <v>924415.92654892069</v>
      </c>
      <c r="J40" s="26">
        <f t="shared" si="15"/>
        <v>1134541.9898190703</v>
      </c>
      <c r="K40" s="27">
        <f t="shared" si="16"/>
        <v>913346.36416708608</v>
      </c>
      <c r="O40" s="212"/>
      <c r="P40" s="3" t="s">
        <v>5</v>
      </c>
      <c r="Q40" s="8">
        <f t="shared" si="111"/>
        <v>867548.12921478064</v>
      </c>
      <c r="R40" s="6">
        <f t="shared" si="77"/>
        <v>8660</v>
      </c>
      <c r="S40" s="6">
        <f t="shared" si="78"/>
        <v>7512966799</v>
      </c>
      <c r="T40" s="6">
        <f t="shared" si="79"/>
        <v>5475</v>
      </c>
      <c r="U40" s="6">
        <f t="shared" si="80"/>
        <v>4890851530</v>
      </c>
      <c r="V40" s="6">
        <f t="shared" si="81"/>
        <v>3185</v>
      </c>
      <c r="W40" s="6">
        <f t="shared" si="82"/>
        <v>2622115269</v>
      </c>
      <c r="X40" s="8">
        <f t="shared" si="112"/>
        <v>818926.63318352064</v>
      </c>
      <c r="Y40" s="6">
        <f t="shared" si="83"/>
        <v>13350</v>
      </c>
      <c r="Z40" s="6">
        <f t="shared" si="84"/>
        <v>10932670553</v>
      </c>
      <c r="AA40" s="6">
        <f t="shared" si="85"/>
        <v>7892</v>
      </c>
      <c r="AB40" s="6">
        <f t="shared" si="86"/>
        <v>6581568664</v>
      </c>
      <c r="AC40" s="6">
        <f t="shared" si="85"/>
        <v>5458</v>
      </c>
      <c r="AD40" s="6">
        <f t="shared" si="87"/>
        <v>4351101889</v>
      </c>
      <c r="AE40" s="8">
        <f t="shared" si="21"/>
        <v>991917.28105554427</v>
      </c>
      <c r="AF40" s="6">
        <f t="shared" si="88"/>
        <v>74085</v>
      </c>
      <c r="AG40" s="6">
        <f t="shared" si="89"/>
        <v>73486191767</v>
      </c>
      <c r="AH40" s="6">
        <f t="shared" si="90"/>
        <v>38415</v>
      </c>
      <c r="AI40" s="6">
        <f t="shared" si="91"/>
        <v>40512275667</v>
      </c>
      <c r="AJ40" s="6">
        <f t="shared" si="92"/>
        <v>35670</v>
      </c>
      <c r="AK40" s="6">
        <f t="shared" si="93"/>
        <v>32973916100</v>
      </c>
      <c r="AL40" s="8">
        <f t="shared" si="113"/>
        <v>1053522.2825173279</v>
      </c>
      <c r="AM40" s="6">
        <f t="shared" si="94"/>
        <v>27124</v>
      </c>
      <c r="AN40" s="6">
        <f t="shared" si="95"/>
        <v>28575738391</v>
      </c>
      <c r="AO40" s="6">
        <f t="shared" si="96"/>
        <v>17189</v>
      </c>
      <c r="AP40" s="6">
        <f t="shared" si="97"/>
        <v>19501642263</v>
      </c>
      <c r="AQ40" s="6">
        <f t="shared" si="96"/>
        <v>9935</v>
      </c>
      <c r="AR40" s="6">
        <f t="shared" si="98"/>
        <v>9074096128</v>
      </c>
      <c r="AT40" s="3" t="s">
        <v>5</v>
      </c>
      <c r="AU40" s="6">
        <f t="shared" si="99"/>
        <v>8660</v>
      </c>
      <c r="AV40" s="6">
        <f t="shared" si="100"/>
        <v>7513023949</v>
      </c>
      <c r="AW40" s="6">
        <v>5475</v>
      </c>
      <c r="AX40" s="6">
        <v>4890908680</v>
      </c>
      <c r="AY40" s="6">
        <v>3185</v>
      </c>
      <c r="AZ40" s="6">
        <v>2622115269</v>
      </c>
      <c r="BA40" s="6">
        <f t="shared" si="101"/>
        <v>13350</v>
      </c>
      <c r="BB40" s="6">
        <f t="shared" si="102"/>
        <v>10932593753</v>
      </c>
      <c r="BC40" s="6">
        <v>7892</v>
      </c>
      <c r="BD40" s="6">
        <v>6581568664</v>
      </c>
      <c r="BE40" s="6">
        <v>5458</v>
      </c>
      <c r="BF40" s="6">
        <v>4351025089</v>
      </c>
      <c r="BG40" s="6">
        <f t="shared" si="103"/>
        <v>74085</v>
      </c>
      <c r="BH40" s="6">
        <f t="shared" si="104"/>
        <v>73486247633</v>
      </c>
      <c r="BI40" s="6">
        <v>38415</v>
      </c>
      <c r="BJ40" s="6">
        <v>40512331533</v>
      </c>
      <c r="BK40" s="6">
        <v>35670</v>
      </c>
      <c r="BL40" s="6">
        <v>32973916100</v>
      </c>
      <c r="BM40" s="6">
        <f t="shared" si="105"/>
        <v>27124</v>
      </c>
      <c r="BN40" s="6">
        <f t="shared" si="106"/>
        <v>28575738391</v>
      </c>
      <c r="BO40" s="6">
        <v>17189</v>
      </c>
      <c r="BP40" s="6">
        <v>19501642263</v>
      </c>
      <c r="BQ40" s="6">
        <v>9935</v>
      </c>
      <c r="BR40" s="6">
        <v>9074096128</v>
      </c>
      <c r="BS40" s="3" t="s">
        <v>5</v>
      </c>
      <c r="BT40" s="6">
        <v>57150</v>
      </c>
      <c r="BU40" s="10">
        <v>0</v>
      </c>
      <c r="BV40" s="6">
        <v>0</v>
      </c>
      <c r="BW40" s="10">
        <v>-76800</v>
      </c>
      <c r="BX40" s="6">
        <v>55866</v>
      </c>
      <c r="BY40" s="6">
        <v>0</v>
      </c>
      <c r="BZ40" s="6">
        <v>0</v>
      </c>
      <c r="CA40" s="6">
        <v>0</v>
      </c>
    </row>
    <row r="41" spans="1:79" ht="27" customHeight="1" thickBot="1">
      <c r="A41" s="207"/>
      <c r="B41" s="209"/>
      <c r="C41" s="17" t="s">
        <v>110</v>
      </c>
      <c r="D41" s="48">
        <f t="shared" si="107"/>
        <v>789186.23724489799</v>
      </c>
      <c r="E41" s="48">
        <f t="shared" si="108"/>
        <v>742243.02216216212</v>
      </c>
      <c r="F41" s="28">
        <f t="shared" si="109"/>
        <v>725452.32407407404</v>
      </c>
      <c r="G41" s="28">
        <f t="shared" si="110"/>
        <v>670723.72046955244</v>
      </c>
      <c r="H41" s="48">
        <f t="shared" si="13"/>
        <v>830563.69712616352</v>
      </c>
      <c r="I41" s="48">
        <f t="shared" si="14"/>
        <v>710101.59343164496</v>
      </c>
      <c r="J41" s="28">
        <f t="shared" si="15"/>
        <v>812127.64569593896</v>
      </c>
      <c r="K41" s="29">
        <f t="shared" si="16"/>
        <v>669344.64435227169</v>
      </c>
      <c r="O41" s="212"/>
      <c r="P41" s="3" t="s">
        <v>75</v>
      </c>
      <c r="Q41" s="8">
        <f t="shared" si="111"/>
        <v>768518.71037601144</v>
      </c>
      <c r="R41" s="6">
        <f t="shared" si="77"/>
        <v>4202</v>
      </c>
      <c r="S41" s="6">
        <f t="shared" si="78"/>
        <v>3229315621</v>
      </c>
      <c r="T41" s="6">
        <f t="shared" si="79"/>
        <v>2352</v>
      </c>
      <c r="U41" s="6">
        <f t="shared" si="80"/>
        <v>1856166030</v>
      </c>
      <c r="V41" s="6">
        <f t="shared" si="81"/>
        <v>1850</v>
      </c>
      <c r="W41" s="6">
        <f t="shared" si="82"/>
        <v>1373149591</v>
      </c>
      <c r="X41" s="8">
        <f t="shared" si="112"/>
        <v>700890.22769180115</v>
      </c>
      <c r="Y41" s="6">
        <f t="shared" si="83"/>
        <v>6074</v>
      </c>
      <c r="Z41" s="6">
        <f t="shared" si="84"/>
        <v>4257207243</v>
      </c>
      <c r="AA41" s="6">
        <f t="shared" si="85"/>
        <v>3348</v>
      </c>
      <c r="AB41" s="6">
        <f t="shared" si="86"/>
        <v>2428814381</v>
      </c>
      <c r="AC41" s="6">
        <f t="shared" si="85"/>
        <v>2726</v>
      </c>
      <c r="AD41" s="6">
        <f t="shared" si="87"/>
        <v>1828392862</v>
      </c>
      <c r="AE41" s="8">
        <f t="shared" si="21"/>
        <v>771761.13245931279</v>
      </c>
      <c r="AF41" s="6">
        <f t="shared" si="88"/>
        <v>28756</v>
      </c>
      <c r="AG41" s="6">
        <f t="shared" si="89"/>
        <v>22192763125</v>
      </c>
      <c r="AH41" s="6">
        <f t="shared" si="90"/>
        <v>14719</v>
      </c>
      <c r="AI41" s="6">
        <f t="shared" si="91"/>
        <v>12225067058</v>
      </c>
      <c r="AJ41" s="6">
        <f t="shared" si="92"/>
        <v>14037</v>
      </c>
      <c r="AK41" s="6">
        <f t="shared" si="93"/>
        <v>9967696067</v>
      </c>
      <c r="AL41" s="8">
        <f t="shared" si="113"/>
        <v>744509.38362797501</v>
      </c>
      <c r="AM41" s="6">
        <f t="shared" si="94"/>
        <v>21891</v>
      </c>
      <c r="AN41" s="6">
        <f t="shared" si="95"/>
        <v>16298054917</v>
      </c>
      <c r="AO41" s="6">
        <f t="shared" si="96"/>
        <v>11524</v>
      </c>
      <c r="AP41" s="6">
        <f t="shared" si="97"/>
        <v>9358958989</v>
      </c>
      <c r="AQ41" s="6">
        <f t="shared" si="96"/>
        <v>10367</v>
      </c>
      <c r="AR41" s="6">
        <f t="shared" si="98"/>
        <v>6939095928</v>
      </c>
      <c r="AT41" s="3" t="s">
        <v>75</v>
      </c>
      <c r="AU41" s="6">
        <f t="shared" si="99"/>
        <v>4202</v>
      </c>
      <c r="AV41" s="6">
        <f t="shared" si="100"/>
        <v>3229315621</v>
      </c>
      <c r="AW41" s="6">
        <f>2086+266</f>
        <v>2352</v>
      </c>
      <c r="AX41" s="6">
        <f>1689931826+166234204</f>
        <v>1856166030</v>
      </c>
      <c r="AY41" s="6">
        <f>1646+204</f>
        <v>1850</v>
      </c>
      <c r="AZ41" s="6">
        <f>1287575380+85574211</f>
        <v>1373149591</v>
      </c>
      <c r="BA41" s="6">
        <f t="shared" si="101"/>
        <v>6074</v>
      </c>
      <c r="BB41" s="6">
        <f t="shared" si="102"/>
        <v>4257207243</v>
      </c>
      <c r="BC41" s="6">
        <f>2961+387</f>
        <v>3348</v>
      </c>
      <c r="BD41" s="6">
        <f>2230882354+197932027</f>
        <v>2428814381</v>
      </c>
      <c r="BE41" s="6">
        <f>2351+375</f>
        <v>2726</v>
      </c>
      <c r="BF41" s="6">
        <f>1672776640+155616222</f>
        <v>1828392862</v>
      </c>
      <c r="BG41" s="6">
        <f t="shared" si="103"/>
        <v>28756</v>
      </c>
      <c r="BH41" s="6">
        <f t="shared" si="104"/>
        <v>22192763125</v>
      </c>
      <c r="BI41" s="6">
        <v>14719</v>
      </c>
      <c r="BJ41" s="6">
        <v>12225067058</v>
      </c>
      <c r="BK41" s="6">
        <v>14037</v>
      </c>
      <c r="BL41" s="6">
        <v>9967696067</v>
      </c>
      <c r="BM41" s="6">
        <f t="shared" si="105"/>
        <v>21891</v>
      </c>
      <c r="BN41" s="6">
        <f t="shared" si="106"/>
        <v>16298054917</v>
      </c>
      <c r="BO41" s="6">
        <v>11524</v>
      </c>
      <c r="BP41" s="6">
        <v>9358958989</v>
      </c>
      <c r="BQ41" s="6">
        <v>10367</v>
      </c>
      <c r="BR41" s="6">
        <v>6939095928</v>
      </c>
      <c r="BS41" s="3" t="s">
        <v>75</v>
      </c>
      <c r="BT41" s="6">
        <v>0</v>
      </c>
      <c r="BU41" s="6">
        <v>0</v>
      </c>
      <c r="BV41" s="6">
        <v>0</v>
      </c>
      <c r="BW41" s="6">
        <v>0</v>
      </c>
      <c r="BX41" s="6">
        <v>0</v>
      </c>
      <c r="BY41" s="6">
        <v>0</v>
      </c>
      <c r="BZ41" s="6">
        <v>0</v>
      </c>
      <c r="CA41" s="6">
        <v>0</v>
      </c>
    </row>
    <row r="42" spans="1:79" ht="39" customHeight="1">
      <c r="A42" s="202" t="s">
        <v>111</v>
      </c>
      <c r="B42" s="202"/>
      <c r="C42" s="202"/>
      <c r="D42" s="202"/>
      <c r="E42" s="202"/>
      <c r="F42" s="202"/>
      <c r="G42" s="202"/>
      <c r="H42" s="202"/>
      <c r="I42" s="202"/>
      <c r="J42" s="202"/>
      <c r="K42" s="202"/>
      <c r="O42" s="18"/>
    </row>
    <row r="43" spans="1:79">
      <c r="A43" s="31"/>
    </row>
  </sheetData>
  <mergeCells count="54">
    <mergeCell ref="BE3:BF3"/>
    <mergeCell ref="BI3:BJ3"/>
    <mergeCell ref="BK3:BL3"/>
    <mergeCell ref="A42:K42"/>
    <mergeCell ref="D3:E3"/>
    <mergeCell ref="F3:G3"/>
    <mergeCell ref="H3:I3"/>
    <mergeCell ref="J3:K3"/>
    <mergeCell ref="A33:A41"/>
    <mergeCell ref="B33:B41"/>
    <mergeCell ref="A3:A4"/>
    <mergeCell ref="A5:A32"/>
    <mergeCell ref="B5:B32"/>
    <mergeCell ref="O33:O41"/>
    <mergeCell ref="O5:O32"/>
    <mergeCell ref="V3:W3"/>
    <mergeCell ref="A1:K1"/>
    <mergeCell ref="P2:P4"/>
    <mergeCell ref="B3:C4"/>
    <mergeCell ref="AQ3:AR3"/>
    <mergeCell ref="AW3:AX3"/>
    <mergeCell ref="AT2:AT4"/>
    <mergeCell ref="AU3:AV3"/>
    <mergeCell ref="AH3:AI3"/>
    <mergeCell ref="AJ3:AK3"/>
    <mergeCell ref="AO3:AP3"/>
    <mergeCell ref="O2:O4"/>
    <mergeCell ref="AL3:AN3"/>
    <mergeCell ref="AE3:AG3"/>
    <mergeCell ref="X3:Z3"/>
    <mergeCell ref="Q3:S3"/>
    <mergeCell ref="T3:U3"/>
    <mergeCell ref="AY3:AZ3"/>
    <mergeCell ref="AA3:AB3"/>
    <mergeCell ref="AC3:AD3"/>
    <mergeCell ref="Q2:W2"/>
    <mergeCell ref="X2:AD2"/>
    <mergeCell ref="AE2:AK2"/>
    <mergeCell ref="BC3:BD3"/>
    <mergeCell ref="AL2:AR2"/>
    <mergeCell ref="BZ2:CA2"/>
    <mergeCell ref="BM2:BR2"/>
    <mergeCell ref="BS2:BS4"/>
    <mergeCell ref="AU2:AZ2"/>
    <mergeCell ref="BA2:BF2"/>
    <mergeCell ref="BG2:BL2"/>
    <mergeCell ref="BO3:BP3"/>
    <mergeCell ref="BQ3:BR3"/>
    <mergeCell ref="BT2:BU2"/>
    <mergeCell ref="BV2:BW2"/>
    <mergeCell ref="BX2:BY2"/>
    <mergeCell ref="BA3:BB3"/>
    <mergeCell ref="BG3:BH3"/>
    <mergeCell ref="BM3:BN3"/>
  </mergeCells>
  <phoneticPr fontId="3" type="noConversion"/>
  <printOptions horizontalCentered="1"/>
  <pageMargins left="0.19685039370078741" right="0.19685039370078741" top="0.51181102362204722" bottom="0.51181102362204722" header="0.39370078740157483" footer="0.39370078740157483"/>
  <pageSetup paperSize="9" orientation="portrait" r:id="rId1"/>
  <headerFooter alignWithMargins="0"/>
  <rowBreaks count="1" manualBreakCount="1">
    <brk id="32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14</vt:i4>
      </vt:variant>
      <vt:variant>
        <vt:lpstr>具名範圍</vt:lpstr>
      </vt:variant>
      <vt:variant>
        <vt:i4>24</vt:i4>
      </vt:variant>
    </vt:vector>
  </HeadingPairs>
  <TitlesOfParts>
    <vt:vector size="38" baseType="lpstr">
      <vt:lpstr>112年</vt:lpstr>
      <vt:lpstr>111年</vt:lpstr>
      <vt:lpstr>110年</vt:lpstr>
      <vt:lpstr>109年</vt:lpstr>
      <vt:lpstr>108年</vt:lpstr>
      <vt:lpstr>107年</vt:lpstr>
      <vt:lpstr>106年</vt:lpstr>
      <vt:lpstr>105年</vt:lpstr>
      <vt:lpstr>104年</vt:lpstr>
      <vt:lpstr>103年</vt:lpstr>
      <vt:lpstr>102年</vt:lpstr>
      <vt:lpstr>101年</vt:lpstr>
      <vt:lpstr>100年</vt:lpstr>
      <vt:lpstr>96年~99年</vt:lpstr>
      <vt:lpstr>'104年'!Print_Area</vt:lpstr>
      <vt:lpstr>'105年'!Print_Area</vt:lpstr>
      <vt:lpstr>'106年'!Print_Area</vt:lpstr>
      <vt:lpstr>'107年'!Print_Area</vt:lpstr>
      <vt:lpstr>'108年'!Print_Area</vt:lpstr>
      <vt:lpstr>'109年'!Print_Area</vt:lpstr>
      <vt:lpstr>'110年'!Print_Area</vt:lpstr>
      <vt:lpstr>'111年'!Print_Area</vt:lpstr>
      <vt:lpstr>'112年'!Print_Area</vt:lpstr>
      <vt:lpstr>'96年~99年'!Print_Area</vt:lpstr>
      <vt:lpstr>'100年'!Print_Titles</vt:lpstr>
      <vt:lpstr>'101年'!Print_Titles</vt:lpstr>
      <vt:lpstr>'102年'!Print_Titles</vt:lpstr>
      <vt:lpstr>'103年'!Print_Titles</vt:lpstr>
      <vt:lpstr>'104年'!Print_Titles</vt:lpstr>
      <vt:lpstr>'105年'!Print_Titles</vt:lpstr>
      <vt:lpstr>'106年'!Print_Titles</vt:lpstr>
      <vt:lpstr>'107年'!Print_Titles</vt:lpstr>
      <vt:lpstr>'108年'!Print_Titles</vt:lpstr>
      <vt:lpstr>'109年'!Print_Titles</vt:lpstr>
      <vt:lpstr>'110年'!Print_Titles</vt:lpstr>
      <vt:lpstr>'111年'!Print_Titles</vt:lpstr>
      <vt:lpstr>'112年'!Print_Titles</vt:lpstr>
      <vt:lpstr>'96年~99年'!Print_Titles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terms:created xsi:type="dcterms:W3CDTF">2021-03-11T06:18:09Z</dcterms:created>
  <dcterms:modified xsi:type="dcterms:W3CDTF">2024-02-19T06:41:36Z</dcterms:modified>
</cp:coreProperties>
</file>