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A4580C9-0ED7-458F-911E-DEA0634CE6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7" r:id="rId1"/>
    <sheet name="111年1至4月勞保" sheetId="6" r:id="rId2"/>
    <sheet name="104年~110年" sheetId="5" r:id="rId3"/>
    <sheet name="102年~103年" sheetId="3" r:id="rId4"/>
    <sheet name="100年~101年" sheetId="2" r:id="rId5"/>
    <sheet name="96年~99年" sheetId="1" r:id="rId6"/>
  </sheets>
  <definedNames>
    <definedName name="_xlnm.Print_Area" localSheetId="5">'96年~99年'!$A$1:$AA$47</definedName>
    <definedName name="_xlnm.Print_Titles" localSheetId="4">'100年~101年'!$A:$C,'100年~101年'!$1:$5</definedName>
    <definedName name="_xlnm.Print_Titles" localSheetId="3">'102年~103年'!$A:$C,'102年~103年'!$1:$5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'96年~99年'!$A:$C,'96年~99年'!$1:$5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7" l="1"/>
  <c r="D62" i="7"/>
  <c r="E61" i="7"/>
  <c r="D61" i="7"/>
  <c r="E60" i="7"/>
  <c r="D60" i="7"/>
  <c r="E59" i="7"/>
  <c r="D59" i="7"/>
  <c r="E58" i="7"/>
  <c r="D58" i="7"/>
  <c r="E57" i="7"/>
  <c r="D57" i="7"/>
  <c r="E56" i="7"/>
  <c r="D56" i="7"/>
  <c r="E55" i="7"/>
  <c r="D55" i="7"/>
  <c r="E54" i="7"/>
  <c r="D54" i="7"/>
  <c r="E53" i="7"/>
  <c r="D53" i="7"/>
  <c r="E52" i="7"/>
  <c r="D52" i="7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D44" i="7"/>
  <c r="I43" i="7"/>
  <c r="H43" i="7"/>
  <c r="G43" i="7"/>
  <c r="F43" i="7"/>
  <c r="E42" i="7"/>
  <c r="D42" i="7"/>
  <c r="E41" i="7"/>
  <c r="D41" i="7"/>
  <c r="E40" i="7"/>
  <c r="D40" i="7"/>
  <c r="E39" i="7"/>
  <c r="D39" i="7"/>
  <c r="E38" i="7"/>
  <c r="D38" i="7"/>
  <c r="E37" i="7"/>
  <c r="D37" i="7"/>
  <c r="E36" i="7"/>
  <c r="D36" i="7"/>
  <c r="E35" i="7"/>
  <c r="D35" i="7"/>
  <c r="E34" i="7"/>
  <c r="D34" i="7"/>
  <c r="E33" i="7"/>
  <c r="D33" i="7"/>
  <c r="E32" i="7"/>
  <c r="D32" i="7"/>
  <c r="E31" i="7"/>
  <c r="D31" i="7"/>
  <c r="I30" i="7"/>
  <c r="H30" i="7"/>
  <c r="G30" i="7"/>
  <c r="F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E7" i="7"/>
  <c r="D7" i="7"/>
  <c r="I6" i="7"/>
  <c r="H6" i="7"/>
  <c r="G6" i="7"/>
  <c r="F6" i="7"/>
  <c r="K28" i="7"/>
  <c r="J28" i="7"/>
  <c r="D43" i="7" l="1"/>
  <c r="E43" i="7"/>
  <c r="D30" i="7"/>
  <c r="E30" i="7"/>
  <c r="D6" i="7"/>
  <c r="E6" i="7"/>
  <c r="K62" i="7"/>
  <c r="J62" i="7"/>
  <c r="K61" i="7"/>
  <c r="J61" i="7"/>
  <c r="K60" i="7"/>
  <c r="J60" i="7"/>
  <c r="K59" i="7"/>
  <c r="J59" i="7"/>
  <c r="K58" i="7"/>
  <c r="J58" i="7"/>
  <c r="K57" i="7"/>
  <c r="J57" i="7"/>
  <c r="K56" i="7"/>
  <c r="J56" i="7"/>
  <c r="K55" i="7"/>
  <c r="J55" i="7"/>
  <c r="K54" i="7"/>
  <c r="J54" i="7"/>
  <c r="K53" i="7"/>
  <c r="J53" i="7"/>
  <c r="K52" i="7"/>
  <c r="J52" i="7"/>
  <c r="K51" i="7"/>
  <c r="J51" i="7"/>
  <c r="K50" i="7"/>
  <c r="J50" i="7"/>
  <c r="K49" i="7"/>
  <c r="J49" i="7"/>
  <c r="K48" i="7"/>
  <c r="J48" i="7"/>
  <c r="K47" i="7"/>
  <c r="J47" i="7"/>
  <c r="K46" i="7"/>
  <c r="J46" i="7"/>
  <c r="K45" i="7"/>
  <c r="J45" i="7"/>
  <c r="K44" i="7"/>
  <c r="J44" i="7"/>
  <c r="O43" i="7"/>
  <c r="N43" i="7"/>
  <c r="M43" i="7"/>
  <c r="L43" i="7"/>
  <c r="K42" i="7"/>
  <c r="J42" i="7"/>
  <c r="K41" i="7"/>
  <c r="J41" i="7"/>
  <c r="K40" i="7"/>
  <c r="J40" i="7"/>
  <c r="K39" i="7"/>
  <c r="J39" i="7"/>
  <c r="K38" i="7"/>
  <c r="J38" i="7"/>
  <c r="K37" i="7"/>
  <c r="J37" i="7"/>
  <c r="K36" i="7"/>
  <c r="J36" i="7"/>
  <c r="K35" i="7"/>
  <c r="J35" i="7"/>
  <c r="K34" i="7"/>
  <c r="J34" i="7"/>
  <c r="K33" i="7"/>
  <c r="J33" i="7"/>
  <c r="K32" i="7"/>
  <c r="J32" i="7"/>
  <c r="K31" i="7"/>
  <c r="J31" i="7"/>
  <c r="O30" i="7"/>
  <c r="N30" i="7"/>
  <c r="M30" i="7"/>
  <c r="L30" i="7"/>
  <c r="K29" i="7"/>
  <c r="J29" i="7"/>
  <c r="K27" i="7"/>
  <c r="J27" i="7"/>
  <c r="K26" i="7"/>
  <c r="J26" i="7"/>
  <c r="K25" i="7"/>
  <c r="J25" i="7"/>
  <c r="K24" i="7"/>
  <c r="J24" i="7"/>
  <c r="K23" i="7"/>
  <c r="J23" i="7"/>
  <c r="K22" i="7"/>
  <c r="J22" i="7"/>
  <c r="K21" i="7"/>
  <c r="J21" i="7"/>
  <c r="K20" i="7"/>
  <c r="J20" i="7"/>
  <c r="K19" i="7"/>
  <c r="J19" i="7"/>
  <c r="K18" i="7"/>
  <c r="J18" i="7"/>
  <c r="K17" i="7"/>
  <c r="J17" i="7"/>
  <c r="K16" i="7"/>
  <c r="J16" i="7"/>
  <c r="K15" i="7"/>
  <c r="J15" i="7"/>
  <c r="K14" i="7"/>
  <c r="J14" i="7"/>
  <c r="K13" i="7"/>
  <c r="J13" i="7"/>
  <c r="K12" i="7"/>
  <c r="J12" i="7"/>
  <c r="K11" i="7"/>
  <c r="J11" i="7"/>
  <c r="K10" i="7"/>
  <c r="J10" i="7"/>
  <c r="K9" i="7"/>
  <c r="J9" i="7"/>
  <c r="K8" i="7"/>
  <c r="J8" i="7"/>
  <c r="K7" i="7"/>
  <c r="J7" i="7"/>
  <c r="O6" i="7"/>
  <c r="N6" i="7"/>
  <c r="M6" i="7"/>
  <c r="L6" i="7"/>
  <c r="K43" i="7" l="1"/>
  <c r="J43" i="7"/>
  <c r="J30" i="7"/>
  <c r="K30" i="7"/>
  <c r="K6" i="7"/>
  <c r="J6" i="7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E43" i="6"/>
  <c r="D43" i="6"/>
  <c r="I42" i="6"/>
  <c r="H42" i="6"/>
  <c r="G42" i="6"/>
  <c r="F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D31" i="6"/>
  <c r="E30" i="6"/>
  <c r="D30" i="6"/>
  <c r="I29" i="6"/>
  <c r="H29" i="6"/>
  <c r="G29" i="6"/>
  <c r="F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I6" i="6"/>
  <c r="H6" i="6"/>
  <c r="G6" i="6"/>
  <c r="F6" i="6"/>
  <c r="E42" i="6" l="1"/>
  <c r="D6" i="6"/>
  <c r="D29" i="6"/>
  <c r="E6" i="6"/>
  <c r="E29" i="6"/>
  <c r="D42" i="6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I42" i="5"/>
  <c r="H42" i="5"/>
  <c r="G42" i="5"/>
  <c r="F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I29" i="5"/>
  <c r="H29" i="5"/>
  <c r="G29" i="5"/>
  <c r="F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I6" i="5"/>
  <c r="H6" i="5"/>
  <c r="G6" i="5"/>
  <c r="F6" i="5"/>
  <c r="D42" i="5" l="1"/>
  <c r="E42" i="5"/>
  <c r="D29" i="5"/>
  <c r="E29" i="5"/>
  <c r="D6" i="5"/>
  <c r="E6" i="5"/>
  <c r="K61" i="5" l="1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K46" i="5"/>
  <c r="J46" i="5"/>
  <c r="K45" i="5"/>
  <c r="J45" i="5"/>
  <c r="K44" i="5"/>
  <c r="J44" i="5"/>
  <c r="K43" i="5"/>
  <c r="J43" i="5"/>
  <c r="O42" i="5"/>
  <c r="N42" i="5"/>
  <c r="M42" i="5"/>
  <c r="L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O29" i="5"/>
  <c r="N29" i="5"/>
  <c r="M29" i="5"/>
  <c r="L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O6" i="5"/>
  <c r="N6" i="5"/>
  <c r="M6" i="5"/>
  <c r="L6" i="5"/>
  <c r="J42" i="5" l="1"/>
  <c r="K42" i="5"/>
  <c r="K29" i="5"/>
  <c r="J29" i="5"/>
  <c r="K6" i="5"/>
  <c r="J6" i="5"/>
  <c r="Q61" i="5"/>
  <c r="P61" i="5"/>
  <c r="Q60" i="5"/>
  <c r="P60" i="5"/>
  <c r="Q59" i="5"/>
  <c r="P59" i="5"/>
  <c r="Q58" i="5"/>
  <c r="P58" i="5"/>
  <c r="Q57" i="5"/>
  <c r="P57" i="5"/>
  <c r="Q56" i="5"/>
  <c r="P56" i="5"/>
  <c r="Q55" i="5"/>
  <c r="P55" i="5"/>
  <c r="Q54" i="5"/>
  <c r="P54" i="5"/>
  <c r="Q53" i="5"/>
  <c r="P53" i="5"/>
  <c r="Q52" i="5"/>
  <c r="P52" i="5"/>
  <c r="Q51" i="5"/>
  <c r="P51" i="5"/>
  <c r="Q50" i="5"/>
  <c r="P50" i="5"/>
  <c r="Q49" i="5"/>
  <c r="P49" i="5"/>
  <c r="Q48" i="5"/>
  <c r="P48" i="5"/>
  <c r="Q47" i="5"/>
  <c r="P47" i="5"/>
  <c r="Q46" i="5"/>
  <c r="P46" i="5"/>
  <c r="Q45" i="5"/>
  <c r="P45" i="5"/>
  <c r="Q44" i="5"/>
  <c r="P44" i="5"/>
  <c r="Q43" i="5"/>
  <c r="P43" i="5"/>
  <c r="U42" i="5"/>
  <c r="T42" i="5"/>
  <c r="S42" i="5"/>
  <c r="R42" i="5"/>
  <c r="Q41" i="5"/>
  <c r="P41" i="5"/>
  <c r="Q40" i="5"/>
  <c r="P40" i="5"/>
  <c r="Q39" i="5"/>
  <c r="P39" i="5"/>
  <c r="Q38" i="5"/>
  <c r="P38" i="5"/>
  <c r="Q37" i="5"/>
  <c r="P37" i="5"/>
  <c r="Q36" i="5"/>
  <c r="P36" i="5"/>
  <c r="Q35" i="5"/>
  <c r="P35" i="5"/>
  <c r="Q34" i="5"/>
  <c r="P34" i="5"/>
  <c r="Q33" i="5"/>
  <c r="P33" i="5"/>
  <c r="Q32" i="5"/>
  <c r="P32" i="5"/>
  <c r="Q31" i="5"/>
  <c r="P31" i="5"/>
  <c r="Q30" i="5"/>
  <c r="P30" i="5"/>
  <c r="U29" i="5"/>
  <c r="T29" i="5"/>
  <c r="S29" i="5"/>
  <c r="R29" i="5"/>
  <c r="Q28" i="5"/>
  <c r="P28" i="5"/>
  <c r="Q27" i="5"/>
  <c r="P27" i="5"/>
  <c r="Q26" i="5"/>
  <c r="P26" i="5"/>
  <c r="Q25" i="5"/>
  <c r="P25" i="5"/>
  <c r="Q24" i="5"/>
  <c r="P24" i="5"/>
  <c r="Q23" i="5"/>
  <c r="P23" i="5"/>
  <c r="Q22" i="5"/>
  <c r="P22" i="5"/>
  <c r="Q21" i="5"/>
  <c r="P21" i="5"/>
  <c r="Q20" i="5"/>
  <c r="P20" i="5"/>
  <c r="Q19" i="5"/>
  <c r="P19" i="5"/>
  <c r="Q18" i="5"/>
  <c r="P18" i="5"/>
  <c r="Q17" i="5"/>
  <c r="P17" i="5"/>
  <c r="Q16" i="5"/>
  <c r="P16" i="5"/>
  <c r="Q15" i="5"/>
  <c r="P15" i="5"/>
  <c r="Q14" i="5"/>
  <c r="P14" i="5"/>
  <c r="Q13" i="5"/>
  <c r="P13" i="5"/>
  <c r="Q12" i="5"/>
  <c r="P12" i="5"/>
  <c r="Q11" i="5"/>
  <c r="P11" i="5"/>
  <c r="Q10" i="5"/>
  <c r="P10" i="5"/>
  <c r="Q9" i="5"/>
  <c r="P9" i="5"/>
  <c r="Q8" i="5"/>
  <c r="P8" i="5"/>
  <c r="Q7" i="5"/>
  <c r="P7" i="5"/>
  <c r="U6" i="5"/>
  <c r="T6" i="5"/>
  <c r="S6" i="5"/>
  <c r="R6" i="5"/>
  <c r="Q29" i="5" l="1"/>
  <c r="P29" i="5"/>
  <c r="P6" i="5"/>
  <c r="Q42" i="5"/>
  <c r="P42" i="5"/>
  <c r="Q6" i="5"/>
  <c r="W61" i="5"/>
  <c r="V61" i="5"/>
  <c r="W60" i="5"/>
  <c r="V60" i="5"/>
  <c r="W59" i="5"/>
  <c r="V59" i="5"/>
  <c r="W58" i="5"/>
  <c r="V58" i="5"/>
  <c r="W57" i="5"/>
  <c r="V57" i="5"/>
  <c r="W56" i="5"/>
  <c r="V56" i="5"/>
  <c r="W55" i="5"/>
  <c r="V55" i="5"/>
  <c r="W54" i="5"/>
  <c r="V54" i="5"/>
  <c r="W53" i="5"/>
  <c r="V53" i="5"/>
  <c r="W52" i="5"/>
  <c r="V52" i="5"/>
  <c r="W51" i="5"/>
  <c r="V51" i="5"/>
  <c r="W50" i="5"/>
  <c r="V50" i="5"/>
  <c r="W49" i="5"/>
  <c r="V49" i="5"/>
  <c r="W48" i="5"/>
  <c r="V48" i="5"/>
  <c r="W47" i="5"/>
  <c r="V47" i="5"/>
  <c r="W46" i="5"/>
  <c r="V46" i="5"/>
  <c r="W45" i="5"/>
  <c r="V45" i="5"/>
  <c r="W44" i="5"/>
  <c r="V44" i="5"/>
  <c r="W43" i="5"/>
  <c r="V43" i="5"/>
  <c r="AA42" i="5"/>
  <c r="Z42" i="5"/>
  <c r="Y42" i="5"/>
  <c r="X42" i="5"/>
  <c r="W41" i="5"/>
  <c r="V41" i="5"/>
  <c r="W40" i="5"/>
  <c r="V40" i="5"/>
  <c r="W39" i="5"/>
  <c r="V39" i="5"/>
  <c r="W38" i="5"/>
  <c r="V38" i="5"/>
  <c r="W37" i="5"/>
  <c r="V37" i="5"/>
  <c r="W36" i="5"/>
  <c r="V36" i="5"/>
  <c r="W35" i="5"/>
  <c r="V35" i="5"/>
  <c r="W34" i="5"/>
  <c r="V34" i="5"/>
  <c r="W33" i="5"/>
  <c r="V33" i="5"/>
  <c r="W32" i="5"/>
  <c r="V32" i="5"/>
  <c r="W31" i="5"/>
  <c r="V31" i="5"/>
  <c r="W30" i="5"/>
  <c r="V30" i="5"/>
  <c r="AA29" i="5"/>
  <c r="Z29" i="5"/>
  <c r="Y29" i="5"/>
  <c r="X29" i="5"/>
  <c r="W28" i="5"/>
  <c r="V28" i="5"/>
  <c r="W27" i="5"/>
  <c r="V27" i="5"/>
  <c r="W26" i="5"/>
  <c r="V26" i="5"/>
  <c r="W25" i="5"/>
  <c r="V25" i="5"/>
  <c r="W24" i="5"/>
  <c r="V24" i="5"/>
  <c r="W23" i="5"/>
  <c r="V23" i="5"/>
  <c r="W22" i="5"/>
  <c r="V22" i="5"/>
  <c r="W21" i="5"/>
  <c r="V21" i="5"/>
  <c r="W20" i="5"/>
  <c r="V20" i="5"/>
  <c r="W19" i="5"/>
  <c r="V19" i="5"/>
  <c r="W18" i="5"/>
  <c r="V18" i="5"/>
  <c r="W17" i="5"/>
  <c r="V17" i="5"/>
  <c r="W16" i="5"/>
  <c r="V16" i="5"/>
  <c r="W15" i="5"/>
  <c r="V15" i="5"/>
  <c r="W14" i="5"/>
  <c r="V14" i="5"/>
  <c r="W13" i="5"/>
  <c r="V13" i="5"/>
  <c r="W12" i="5"/>
  <c r="V12" i="5"/>
  <c r="W11" i="5"/>
  <c r="V11" i="5"/>
  <c r="W10" i="5"/>
  <c r="V10" i="5"/>
  <c r="W9" i="5"/>
  <c r="V9" i="5"/>
  <c r="W8" i="5"/>
  <c r="V8" i="5"/>
  <c r="W7" i="5"/>
  <c r="V7" i="5"/>
  <c r="AA6" i="5"/>
  <c r="Z6" i="5"/>
  <c r="Y6" i="5"/>
  <c r="X6" i="5"/>
  <c r="W29" i="5" l="1"/>
  <c r="W6" i="5"/>
  <c r="V6" i="5"/>
  <c r="W42" i="5"/>
  <c r="V29" i="5"/>
  <c r="V42" i="5"/>
  <c r="AB21" i="5"/>
  <c r="AC61" i="5"/>
  <c r="AB61" i="5"/>
  <c r="AC60" i="5"/>
  <c r="AB60" i="5"/>
  <c r="AC59" i="5"/>
  <c r="AB59" i="5"/>
  <c r="AC58" i="5"/>
  <c r="AB58" i="5"/>
  <c r="AC57" i="5"/>
  <c r="AB57" i="5"/>
  <c r="AC56" i="5"/>
  <c r="AB56" i="5"/>
  <c r="AC55" i="5"/>
  <c r="AB55" i="5"/>
  <c r="AC54" i="5"/>
  <c r="AB54" i="5"/>
  <c r="AC53" i="5"/>
  <c r="AB53" i="5"/>
  <c r="AC52" i="5"/>
  <c r="AB52" i="5"/>
  <c r="AC51" i="5"/>
  <c r="AB51" i="5"/>
  <c r="AE42" i="5"/>
  <c r="AC50" i="5"/>
  <c r="AB50" i="5"/>
  <c r="AC49" i="5"/>
  <c r="AB49" i="5"/>
  <c r="AC48" i="5"/>
  <c r="AB48" i="5"/>
  <c r="AC47" i="5"/>
  <c r="AB47" i="5"/>
  <c r="AC46" i="5"/>
  <c r="AB46" i="5"/>
  <c r="AC45" i="5"/>
  <c r="AB45" i="5"/>
  <c r="AC44" i="5"/>
  <c r="AB44" i="5"/>
  <c r="AC43" i="5"/>
  <c r="AB43" i="5"/>
  <c r="AG42" i="5"/>
  <c r="AF42" i="5"/>
  <c r="AD42" i="5"/>
  <c r="AC41" i="5"/>
  <c r="AB41" i="5"/>
  <c r="AC40" i="5"/>
  <c r="AB40" i="5"/>
  <c r="AC39" i="5"/>
  <c r="AB39" i="5"/>
  <c r="AC38" i="5"/>
  <c r="AB38" i="5"/>
  <c r="AC37" i="5"/>
  <c r="AB37" i="5"/>
  <c r="AC36" i="5"/>
  <c r="AB36" i="5"/>
  <c r="AC35" i="5"/>
  <c r="AB35" i="5"/>
  <c r="AC34" i="5"/>
  <c r="AB34" i="5"/>
  <c r="AE29" i="5"/>
  <c r="AC33" i="5"/>
  <c r="AB33" i="5"/>
  <c r="AC32" i="5"/>
  <c r="AB32" i="5"/>
  <c r="AC31" i="5"/>
  <c r="AB31" i="5"/>
  <c r="AC30" i="5"/>
  <c r="AB30" i="5"/>
  <c r="AG29" i="5"/>
  <c r="AF29" i="5"/>
  <c r="AD29" i="5"/>
  <c r="AC28" i="5"/>
  <c r="AB28" i="5"/>
  <c r="AC27" i="5"/>
  <c r="AB27" i="5"/>
  <c r="AC26" i="5"/>
  <c r="AB26" i="5"/>
  <c r="AC25" i="5"/>
  <c r="AB25" i="5"/>
  <c r="AC24" i="5"/>
  <c r="AB24" i="5"/>
  <c r="AC23" i="5"/>
  <c r="AB23" i="5"/>
  <c r="AC22" i="5"/>
  <c r="AB22" i="5"/>
  <c r="AC21" i="5"/>
  <c r="AC20" i="5"/>
  <c r="AB20" i="5"/>
  <c r="AC19" i="5"/>
  <c r="AB19" i="5"/>
  <c r="AC18" i="5"/>
  <c r="AB18" i="5"/>
  <c r="AC17" i="5"/>
  <c r="AB17" i="5"/>
  <c r="AC16" i="5"/>
  <c r="AB16" i="5"/>
  <c r="AC15" i="5"/>
  <c r="AB15" i="5"/>
  <c r="AC14" i="5"/>
  <c r="AB14" i="5"/>
  <c r="AC13" i="5"/>
  <c r="AB13" i="5"/>
  <c r="AC12" i="5"/>
  <c r="AB12" i="5"/>
  <c r="AC11" i="5"/>
  <c r="AB11" i="5"/>
  <c r="AC10" i="5"/>
  <c r="AB10" i="5"/>
  <c r="AC9" i="5"/>
  <c r="AB9" i="5"/>
  <c r="AC8" i="5"/>
  <c r="AB8" i="5"/>
  <c r="AE6" i="5"/>
  <c r="AC7" i="5"/>
  <c r="AB7" i="5"/>
  <c r="AG6" i="5"/>
  <c r="AF6" i="5"/>
  <c r="AD6" i="5"/>
  <c r="AK50" i="5"/>
  <c r="AK43" i="5"/>
  <c r="AC42" i="5" l="1"/>
  <c r="AB42" i="5"/>
  <c r="AC29" i="5"/>
  <c r="AB29" i="5"/>
  <c r="AB6" i="5"/>
  <c r="AC6" i="5"/>
  <c r="AK37" i="5"/>
  <c r="AI37" i="5" s="1"/>
  <c r="AK35" i="5"/>
  <c r="AI35" i="5" s="1"/>
  <c r="AK41" i="5"/>
  <c r="AI41" i="5" s="1"/>
  <c r="AK40" i="5"/>
  <c r="AI40" i="5" s="1"/>
  <c r="AK39" i="5"/>
  <c r="AI39" i="5" s="1"/>
  <c r="AK38" i="5"/>
  <c r="AI38" i="5" s="1"/>
  <c r="AK36" i="5"/>
  <c r="AI36" i="5" s="1"/>
  <c r="AK34" i="5"/>
  <c r="AK33" i="5"/>
  <c r="AI33" i="5" s="1"/>
  <c r="AK32" i="5"/>
  <c r="AI32" i="5" s="1"/>
  <c r="AK12" i="5"/>
  <c r="AI12" i="5" s="1"/>
  <c r="AK11" i="5"/>
  <c r="AK7" i="5"/>
  <c r="AI7" i="5" s="1"/>
  <c r="AK8" i="5"/>
  <c r="AI8" i="5" s="1"/>
  <c r="AK23" i="5"/>
  <c r="AK21" i="5"/>
  <c r="AI21" i="5" s="1"/>
  <c r="AK20" i="5"/>
  <c r="AI20" i="5" s="1"/>
  <c r="AK13" i="5"/>
  <c r="AO61" i="5"/>
  <c r="AN61" i="5"/>
  <c r="AO60" i="5"/>
  <c r="AN60" i="5"/>
  <c r="AO59" i="5"/>
  <c r="AN59" i="5"/>
  <c r="AO58" i="5"/>
  <c r="AN58" i="5"/>
  <c r="AO57" i="5"/>
  <c r="AN57" i="5"/>
  <c r="AO56" i="5"/>
  <c r="AN56" i="5"/>
  <c r="AO55" i="5"/>
  <c r="AN55" i="5"/>
  <c r="AO54" i="5"/>
  <c r="AN54" i="5"/>
  <c r="AO53" i="5"/>
  <c r="AN53" i="5"/>
  <c r="AO52" i="5"/>
  <c r="AN52" i="5"/>
  <c r="AO51" i="5"/>
  <c r="AN51" i="5"/>
  <c r="AQ50" i="5"/>
  <c r="AO50" i="5" s="1"/>
  <c r="AP50" i="5"/>
  <c r="AN50" i="5" s="1"/>
  <c r="AO49" i="5"/>
  <c r="AN49" i="5"/>
  <c r="AO48" i="5"/>
  <c r="AN48" i="5"/>
  <c r="AO47" i="5"/>
  <c r="AN47" i="5"/>
  <c r="AO46" i="5"/>
  <c r="AN46" i="5"/>
  <c r="AO45" i="5"/>
  <c r="AN45" i="5"/>
  <c r="AO44" i="5"/>
  <c r="AN44" i="5"/>
  <c r="AS43" i="5"/>
  <c r="AS42" i="5" s="1"/>
  <c r="AR43" i="5"/>
  <c r="AR42" i="5" s="1"/>
  <c r="AQ43" i="5"/>
  <c r="AP43" i="5"/>
  <c r="AN43" i="5" s="1"/>
  <c r="AQ41" i="5"/>
  <c r="AO41" i="5" s="1"/>
  <c r="AP41" i="5"/>
  <c r="AN41" i="5" s="1"/>
  <c r="AS40" i="5"/>
  <c r="AS29" i="5" s="1"/>
  <c r="AR40" i="5"/>
  <c r="AQ40" i="5"/>
  <c r="AP40" i="5"/>
  <c r="AQ39" i="5"/>
  <c r="AP39" i="5"/>
  <c r="AN39" i="5" s="1"/>
  <c r="AO39" i="5"/>
  <c r="AQ38" i="5"/>
  <c r="AO38" i="5"/>
  <c r="AN38" i="5"/>
  <c r="AQ37" i="5"/>
  <c r="AO37" i="5" s="1"/>
  <c r="AP37" i="5"/>
  <c r="AN37" i="5" s="1"/>
  <c r="AQ36" i="5"/>
  <c r="AO36" i="5" s="1"/>
  <c r="AP36" i="5"/>
  <c r="AN36" i="5"/>
  <c r="AQ35" i="5"/>
  <c r="AO35" i="5" s="1"/>
  <c r="AN35" i="5"/>
  <c r="AQ34" i="5"/>
  <c r="AO34" i="5" s="1"/>
  <c r="AP34" i="5"/>
  <c r="AN34" i="5"/>
  <c r="AQ33" i="5"/>
  <c r="AO33" i="5" s="1"/>
  <c r="AN33" i="5"/>
  <c r="AQ32" i="5"/>
  <c r="AN32" i="5"/>
  <c r="AO31" i="5"/>
  <c r="AN31" i="5"/>
  <c r="AO30" i="5"/>
  <c r="AN30" i="5"/>
  <c r="AR29" i="5"/>
  <c r="AO28" i="5"/>
  <c r="AN28" i="5"/>
  <c r="AS27" i="5"/>
  <c r="AO27" i="5" s="1"/>
  <c r="AR27" i="5"/>
  <c r="AN27" i="5" s="1"/>
  <c r="AO26" i="5"/>
  <c r="AN26" i="5"/>
  <c r="AO25" i="5"/>
  <c r="AN25" i="5"/>
  <c r="AO24" i="5"/>
  <c r="AN24" i="5"/>
  <c r="AQ23" i="5"/>
  <c r="AO23" i="5" s="1"/>
  <c r="AP23" i="5"/>
  <c r="AN23" i="5" s="1"/>
  <c r="AO22" i="5"/>
  <c r="AN22" i="5"/>
  <c r="AQ21" i="5"/>
  <c r="AO21" i="5" s="1"/>
  <c r="AN21" i="5"/>
  <c r="AQ20" i="5"/>
  <c r="AO20" i="5" s="1"/>
  <c r="AP20" i="5"/>
  <c r="AN20" i="5" s="1"/>
  <c r="AO19" i="5"/>
  <c r="AN19" i="5"/>
  <c r="AO18" i="5"/>
  <c r="AN18" i="5"/>
  <c r="AO17" i="5"/>
  <c r="AN17" i="5"/>
  <c r="AO16" i="5"/>
  <c r="AN16" i="5"/>
  <c r="AO15" i="5"/>
  <c r="AN15" i="5"/>
  <c r="AO14" i="5"/>
  <c r="AN14" i="5"/>
  <c r="AQ13" i="5"/>
  <c r="AO13" i="5" s="1"/>
  <c r="AP13" i="5"/>
  <c r="AN13" i="5" s="1"/>
  <c r="AQ12" i="5"/>
  <c r="AP12" i="5"/>
  <c r="AN12" i="5" s="1"/>
  <c r="AO12" i="5"/>
  <c r="AQ11" i="5"/>
  <c r="AO11" i="5" s="1"/>
  <c r="AN11" i="5"/>
  <c r="AO10" i="5"/>
  <c r="AN10" i="5"/>
  <c r="AO9" i="5"/>
  <c r="AN9" i="5"/>
  <c r="AQ8" i="5"/>
  <c r="AO8" i="5" s="1"/>
  <c r="AN8" i="5"/>
  <c r="AQ7" i="5"/>
  <c r="AO7" i="5" s="1"/>
  <c r="AP7" i="5"/>
  <c r="AN7" i="5" s="1"/>
  <c r="AI61" i="5"/>
  <c r="AH61" i="5"/>
  <c r="AI60" i="5"/>
  <c r="AH60" i="5"/>
  <c r="AI59" i="5"/>
  <c r="AH59" i="5"/>
  <c r="AI58" i="5"/>
  <c r="AH58" i="5"/>
  <c r="AI57" i="5"/>
  <c r="AH57" i="5"/>
  <c r="AI56" i="5"/>
  <c r="AH56" i="5"/>
  <c r="AI55" i="5"/>
  <c r="AH55" i="5"/>
  <c r="AI54" i="5"/>
  <c r="AH54" i="5"/>
  <c r="AI53" i="5"/>
  <c r="AH53" i="5"/>
  <c r="AI52" i="5"/>
  <c r="AH52" i="5"/>
  <c r="AI51" i="5"/>
  <c r="AH51" i="5"/>
  <c r="AI50" i="5"/>
  <c r="AH50" i="5"/>
  <c r="AI49" i="5"/>
  <c r="AH49" i="5"/>
  <c r="AI48" i="5"/>
  <c r="AH48" i="5"/>
  <c r="AI47" i="5"/>
  <c r="AH47" i="5"/>
  <c r="AI46" i="5"/>
  <c r="AH46" i="5"/>
  <c r="AI45" i="5"/>
  <c r="AH45" i="5"/>
  <c r="AI44" i="5"/>
  <c r="AH44" i="5"/>
  <c r="AI43" i="5"/>
  <c r="AH43" i="5"/>
  <c r="AM42" i="5"/>
  <c r="AL42" i="5"/>
  <c r="AK42" i="5"/>
  <c r="AJ42" i="5"/>
  <c r="AH41" i="5"/>
  <c r="AH40" i="5"/>
  <c r="AH39" i="5"/>
  <c r="AH38" i="5"/>
  <c r="AH37" i="5"/>
  <c r="AH36" i="5"/>
  <c r="AH35" i="5"/>
  <c r="AI34" i="5"/>
  <c r="AH34" i="5"/>
  <c r="AH33" i="5"/>
  <c r="AH32" i="5"/>
  <c r="AI31" i="5"/>
  <c r="AH31" i="5"/>
  <c r="AI30" i="5"/>
  <c r="AH30" i="5"/>
  <c r="AM29" i="5"/>
  <c r="AL29" i="5"/>
  <c r="AJ29" i="5"/>
  <c r="AI28" i="5"/>
  <c r="AH28" i="5"/>
  <c r="AI27" i="5"/>
  <c r="AH27" i="5"/>
  <c r="AI26" i="5"/>
  <c r="AH26" i="5"/>
  <c r="AI25" i="5"/>
  <c r="AH25" i="5"/>
  <c r="AI24" i="5"/>
  <c r="AH24" i="5"/>
  <c r="AI23" i="5"/>
  <c r="AH23" i="5"/>
  <c r="AI22" i="5"/>
  <c r="AH22" i="5"/>
  <c r="AH21" i="5"/>
  <c r="AH20" i="5"/>
  <c r="AI19" i="5"/>
  <c r="AH19" i="5"/>
  <c r="AI18" i="5"/>
  <c r="AH18" i="5"/>
  <c r="AI17" i="5"/>
  <c r="AH17" i="5"/>
  <c r="AI16" i="5"/>
  <c r="AH16" i="5"/>
  <c r="AI15" i="5"/>
  <c r="AH15" i="5"/>
  <c r="AI14" i="5"/>
  <c r="AH14" i="5"/>
  <c r="AI13" i="5"/>
  <c r="AH13" i="5"/>
  <c r="AH12" i="5"/>
  <c r="AH11" i="5"/>
  <c r="AI10" i="5"/>
  <c r="AH10" i="5"/>
  <c r="AI9" i="5"/>
  <c r="AH9" i="5"/>
  <c r="AH8" i="5"/>
  <c r="AH7" i="5"/>
  <c r="AM6" i="5"/>
  <c r="AL6" i="5"/>
  <c r="AJ6" i="5"/>
  <c r="AQ29" i="5" l="1"/>
  <c r="AS6" i="5"/>
  <c r="AO40" i="5"/>
  <c r="AQ42" i="5"/>
  <c r="AR6" i="5"/>
  <c r="AO43" i="5"/>
  <c r="AO42" i="5" s="1"/>
  <c r="AK6" i="5"/>
  <c r="AN42" i="5"/>
  <c r="AI11" i="5"/>
  <c r="AI6" i="5" s="1"/>
  <c r="AN6" i="5"/>
  <c r="AO32" i="5"/>
  <c r="AO29" i="5" s="1"/>
  <c r="AN40" i="5"/>
  <c r="AN29" i="5" s="1"/>
  <c r="AI42" i="5"/>
  <c r="AH42" i="5"/>
  <c r="AK29" i="5"/>
  <c r="AI29" i="5"/>
  <c r="AH29" i="5"/>
  <c r="AH6" i="5"/>
  <c r="AO6" i="5"/>
  <c r="AP6" i="5"/>
  <c r="AQ6" i="5"/>
  <c r="AP29" i="5"/>
  <c r="AP42" i="5"/>
  <c r="G35" i="3" l="1"/>
  <c r="E35" i="3" s="1"/>
  <c r="G40" i="3"/>
  <c r="E40" i="3" s="1"/>
  <c r="G39" i="3"/>
  <c r="G38" i="3"/>
  <c r="G37" i="3"/>
  <c r="E37" i="3" s="1"/>
  <c r="G36" i="3"/>
  <c r="E36" i="3" s="1"/>
  <c r="G34" i="3"/>
  <c r="E34" i="3" s="1"/>
  <c r="G33" i="3"/>
  <c r="E33" i="3" s="1"/>
  <c r="G32" i="3"/>
  <c r="E32" i="3" s="1"/>
  <c r="F39" i="3"/>
  <c r="F36" i="3"/>
  <c r="F35" i="3"/>
  <c r="G50" i="3"/>
  <c r="E50" i="3" s="1"/>
  <c r="G43" i="3"/>
  <c r="E43" i="3" s="1"/>
  <c r="G11" i="3"/>
  <c r="E11" i="3" s="1"/>
  <c r="G10" i="3"/>
  <c r="E10" i="3" s="1"/>
  <c r="G8" i="3"/>
  <c r="E8" i="3" s="1"/>
  <c r="G7" i="3"/>
  <c r="G24" i="3"/>
  <c r="E24" i="3" s="1"/>
  <c r="G21" i="3"/>
  <c r="E21" i="3" s="1"/>
  <c r="G20" i="3"/>
  <c r="E20" i="3" s="1"/>
  <c r="G12" i="3"/>
  <c r="E12" i="3" s="1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D43" i="3"/>
  <c r="I42" i="3"/>
  <c r="H42" i="3"/>
  <c r="F42" i="3"/>
  <c r="E41" i="3"/>
  <c r="D41" i="3"/>
  <c r="D40" i="3"/>
  <c r="E39" i="3"/>
  <c r="E38" i="3"/>
  <c r="D38" i="3"/>
  <c r="D37" i="3"/>
  <c r="D36" i="3"/>
  <c r="D35" i="3"/>
  <c r="D34" i="3"/>
  <c r="D33" i="3"/>
  <c r="D32" i="3"/>
  <c r="E31" i="3"/>
  <c r="D31" i="3"/>
  <c r="E30" i="3"/>
  <c r="D30" i="3"/>
  <c r="I29" i="3"/>
  <c r="H29" i="3"/>
  <c r="E28" i="3"/>
  <c r="D28" i="3"/>
  <c r="E27" i="3"/>
  <c r="D27" i="3"/>
  <c r="E26" i="3"/>
  <c r="D26" i="3"/>
  <c r="E25" i="3"/>
  <c r="D25" i="3"/>
  <c r="D24" i="3"/>
  <c r="E23" i="3"/>
  <c r="D23" i="3"/>
  <c r="E22" i="3"/>
  <c r="D22" i="3"/>
  <c r="D21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D12" i="3"/>
  <c r="D11" i="3"/>
  <c r="D10" i="3"/>
  <c r="E9" i="3"/>
  <c r="D9" i="3"/>
  <c r="D8" i="3"/>
  <c r="D7" i="3"/>
  <c r="I6" i="3"/>
  <c r="H6" i="3"/>
  <c r="F6" i="3"/>
  <c r="F29" i="3" l="1"/>
  <c r="G42" i="3"/>
  <c r="G6" i="3"/>
  <c r="E7" i="3"/>
  <c r="E6" i="3" s="1"/>
  <c r="D39" i="3"/>
  <c r="D29" i="3" s="1"/>
  <c r="G29" i="3"/>
  <c r="E29" i="3"/>
  <c r="E42" i="3"/>
  <c r="D42" i="3"/>
  <c r="D6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7" i="3"/>
  <c r="J8" i="3"/>
  <c r="J9" i="3"/>
  <c r="J10" i="3"/>
  <c r="J11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L6" i="3"/>
  <c r="M6" i="3"/>
  <c r="N6" i="3"/>
  <c r="O6" i="3"/>
  <c r="J30" i="3"/>
  <c r="J31" i="3"/>
  <c r="J32" i="3"/>
  <c r="J33" i="3"/>
  <c r="J34" i="3"/>
  <c r="J35" i="3"/>
  <c r="J36" i="3"/>
  <c r="J37" i="3"/>
  <c r="J38" i="3"/>
  <c r="J39" i="3"/>
  <c r="J40" i="3"/>
  <c r="J41" i="3"/>
  <c r="K30" i="3"/>
  <c r="K31" i="3"/>
  <c r="K32" i="3"/>
  <c r="K33" i="3"/>
  <c r="K34" i="3"/>
  <c r="K35" i="3"/>
  <c r="K36" i="3"/>
  <c r="K37" i="3"/>
  <c r="K38" i="3"/>
  <c r="K39" i="3"/>
  <c r="K40" i="3"/>
  <c r="L29" i="3"/>
  <c r="N29" i="3"/>
  <c r="O29" i="3"/>
  <c r="J43" i="3"/>
  <c r="J44" i="3"/>
  <c r="J45" i="3"/>
  <c r="J46" i="3"/>
  <c r="J47" i="3"/>
  <c r="J48" i="3"/>
  <c r="J49" i="3"/>
  <c r="J50" i="3"/>
  <c r="J51" i="3"/>
  <c r="J52" i="3"/>
  <c r="J55" i="3"/>
  <c r="J53" i="3"/>
  <c r="J54" i="3"/>
  <c r="J56" i="3"/>
  <c r="J57" i="3"/>
  <c r="J58" i="3"/>
  <c r="J59" i="3"/>
  <c r="J60" i="3"/>
  <c r="J61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L42" i="3"/>
  <c r="M42" i="3"/>
  <c r="N42" i="3"/>
  <c r="O42" i="3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I29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O6" i="2"/>
  <c r="N6" i="2"/>
  <c r="M6" i="2"/>
  <c r="L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O29" i="2"/>
  <c r="N29" i="2"/>
  <c r="M29" i="2"/>
  <c r="L29" i="2"/>
  <c r="I46" i="1"/>
  <c r="I34" i="1" s="1"/>
  <c r="H46" i="1"/>
  <c r="H34" i="1" s="1"/>
  <c r="G46" i="1"/>
  <c r="F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G34" i="1"/>
  <c r="F34" i="1"/>
  <c r="E33" i="1"/>
  <c r="D33" i="1"/>
  <c r="E32" i="1"/>
  <c r="D32" i="1"/>
  <c r="I31" i="1"/>
  <c r="H31" i="1"/>
  <c r="G31" i="1"/>
  <c r="F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I7" i="1"/>
  <c r="H7" i="1"/>
  <c r="G7" i="1"/>
  <c r="F7" i="1"/>
  <c r="M30" i="1"/>
  <c r="K30" i="1" s="1"/>
  <c r="M29" i="1"/>
  <c r="L30" i="1"/>
  <c r="J30" i="1" s="1"/>
  <c r="L29" i="1"/>
  <c r="J29" i="1" s="1"/>
  <c r="M24" i="1"/>
  <c r="K24" i="1" s="1"/>
  <c r="M23" i="1"/>
  <c r="K23" i="1" s="1"/>
  <c r="L23" i="1"/>
  <c r="J23" i="1" s="1"/>
  <c r="M22" i="1"/>
  <c r="K22" i="1" s="1"/>
  <c r="L22" i="1"/>
  <c r="M21" i="1"/>
  <c r="K21" i="1" s="1"/>
  <c r="M20" i="1"/>
  <c r="K20" i="1" s="1"/>
  <c r="L20" i="1"/>
  <c r="J20" i="1" s="1"/>
  <c r="M19" i="1"/>
  <c r="K19" i="1" s="1"/>
  <c r="L18" i="1"/>
  <c r="J18" i="1" s="1"/>
  <c r="M18" i="1"/>
  <c r="K18" i="1" s="1"/>
  <c r="M17" i="1"/>
  <c r="K17" i="1" s="1"/>
  <c r="M9" i="1"/>
  <c r="K46" i="1"/>
  <c r="J46" i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J36" i="1"/>
  <c r="K35" i="1"/>
  <c r="J35" i="1"/>
  <c r="O34" i="1"/>
  <c r="N34" i="1"/>
  <c r="M34" i="1"/>
  <c r="L34" i="1"/>
  <c r="K33" i="1"/>
  <c r="J33" i="1"/>
  <c r="K32" i="1"/>
  <c r="J32" i="1"/>
  <c r="O31" i="1"/>
  <c r="N31" i="1"/>
  <c r="M31" i="1"/>
  <c r="L31" i="1"/>
  <c r="K31" i="1"/>
  <c r="K29" i="1"/>
  <c r="K28" i="1"/>
  <c r="J28" i="1"/>
  <c r="K27" i="1"/>
  <c r="J27" i="1"/>
  <c r="K26" i="1"/>
  <c r="J26" i="1"/>
  <c r="K25" i="1"/>
  <c r="J25" i="1"/>
  <c r="J24" i="1"/>
  <c r="J22" i="1"/>
  <c r="J21" i="1"/>
  <c r="J19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O7" i="1"/>
  <c r="N7" i="1"/>
  <c r="Q46" i="1"/>
  <c r="P46" i="1"/>
  <c r="Q45" i="1"/>
  <c r="P45" i="1"/>
  <c r="Q44" i="1"/>
  <c r="P44" i="1"/>
  <c r="Q43" i="1"/>
  <c r="P43" i="1"/>
  <c r="Q42" i="1"/>
  <c r="P42" i="1"/>
  <c r="Q41" i="1"/>
  <c r="P41" i="1"/>
  <c r="Q40" i="1"/>
  <c r="P40" i="1"/>
  <c r="Q39" i="1"/>
  <c r="P39" i="1"/>
  <c r="Q38" i="1"/>
  <c r="P38" i="1"/>
  <c r="Q37" i="1"/>
  <c r="P37" i="1"/>
  <c r="Q36" i="1"/>
  <c r="P36" i="1"/>
  <c r="Q35" i="1"/>
  <c r="P35" i="1"/>
  <c r="U34" i="1"/>
  <c r="T34" i="1"/>
  <c r="S34" i="1"/>
  <c r="R34" i="1"/>
  <c r="Q33" i="1"/>
  <c r="P33" i="1"/>
  <c r="Q32" i="1"/>
  <c r="P32" i="1"/>
  <c r="P31" i="1" s="1"/>
  <c r="U31" i="1"/>
  <c r="T31" i="1"/>
  <c r="S31" i="1"/>
  <c r="R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U7" i="1"/>
  <c r="U6" i="1" s="1"/>
  <c r="T7" i="1"/>
  <c r="T6" i="1" s="1"/>
  <c r="S7" i="1"/>
  <c r="R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AA34" i="1"/>
  <c r="Z34" i="1"/>
  <c r="Y34" i="1"/>
  <c r="X34" i="1"/>
  <c r="W33" i="1"/>
  <c r="V33" i="1"/>
  <c r="W32" i="1"/>
  <c r="V32" i="1"/>
  <c r="AA31" i="1"/>
  <c r="Z31" i="1"/>
  <c r="Y31" i="1"/>
  <c r="X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AA7" i="1"/>
  <c r="Z7" i="1"/>
  <c r="Y7" i="1"/>
  <c r="X7" i="1"/>
  <c r="K41" i="3"/>
  <c r="M29" i="3"/>
  <c r="Q34" i="1" l="1"/>
  <c r="P7" i="1"/>
  <c r="P6" i="1" s="1"/>
  <c r="X6" i="1"/>
  <c r="H6" i="1"/>
  <c r="I6" i="1"/>
  <c r="D29" i="2"/>
  <c r="E29" i="2"/>
  <c r="W7" i="1"/>
  <c r="W31" i="1"/>
  <c r="F6" i="1"/>
  <c r="R6" i="1"/>
  <c r="G6" i="1"/>
  <c r="V34" i="1"/>
  <c r="E6" i="2"/>
  <c r="J6" i="3"/>
  <c r="W34" i="1"/>
  <c r="D6" i="2"/>
  <c r="K29" i="3"/>
  <c r="Y6" i="1"/>
  <c r="J34" i="1"/>
  <c r="D46" i="1"/>
  <c r="D34" i="1" s="1"/>
  <c r="Z6" i="1"/>
  <c r="N6" i="1"/>
  <c r="K34" i="1"/>
  <c r="M7" i="1"/>
  <c r="M6" i="1" s="1"/>
  <c r="D31" i="1"/>
  <c r="J29" i="3"/>
  <c r="J7" i="1"/>
  <c r="W6" i="1"/>
  <c r="S6" i="1"/>
  <c r="O6" i="1"/>
  <c r="E46" i="1"/>
  <c r="E34" i="1" s="1"/>
  <c r="K29" i="2"/>
  <c r="J6" i="2"/>
  <c r="AA6" i="1"/>
  <c r="V31" i="1"/>
  <c r="Q31" i="1"/>
  <c r="P34" i="1"/>
  <c r="J31" i="1"/>
  <c r="J6" i="1" s="1"/>
  <c r="D7" i="1"/>
  <c r="J29" i="2"/>
  <c r="K6" i="2"/>
  <c r="J42" i="3"/>
  <c r="K7" i="1"/>
  <c r="K6" i="1" s="1"/>
  <c r="E31" i="1"/>
  <c r="K6" i="3"/>
  <c r="V7" i="1"/>
  <c r="Q7" i="1"/>
  <c r="E7" i="1"/>
  <c r="K42" i="3"/>
  <c r="L7" i="1"/>
  <c r="L6" i="1" s="1"/>
  <c r="V6" i="1" l="1"/>
  <c r="E6" i="1"/>
  <c r="D6" i="1"/>
  <c r="Q6" i="1"/>
</calcChain>
</file>

<file path=xl/sharedStrings.xml><?xml version="1.0" encoding="utf-8"?>
<sst xmlns="http://schemas.openxmlformats.org/spreadsheetml/2006/main" count="561" uniqueCount="148">
  <si>
    <t>項目名稱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</si>
  <si>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</si>
  <si>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</si>
  <si>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</si>
  <si>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</si>
  <si>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</si>
  <si>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</si>
  <si>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</si>
  <si>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</si>
  <si>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</si>
  <si>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</si>
  <si>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</si>
  <si>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</si>
  <si>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</si>
  <si>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</si>
  <si>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</si>
  <si>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</si>
  <si>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</si>
  <si>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</si>
  <si>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</si>
  <si>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</si>
  <si>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</si>
  <si>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</si>
  <si>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</si>
  <si>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</si>
  <si>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 </t>
  </si>
  <si>
    <t>件數</t>
    <phoneticPr fontId="3" type="noConversion"/>
  </si>
  <si>
    <t>金額</t>
    <phoneticPr fontId="3" type="noConversion"/>
  </si>
  <si>
    <t>職業災害
死亡給付
(件、元)</t>
    <phoneticPr fontId="3" type="noConversion"/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</si>
  <si>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</si>
  <si>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</si>
  <si>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</si>
  <si>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3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</si>
  <si>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3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</si>
  <si>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</si>
  <si>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</si>
  <si>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</si>
  <si>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</si>
  <si>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</si>
  <si>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</si>
  <si>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</si>
  <si>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</si>
  <si>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</si>
  <si>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</si>
  <si>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3" type="noConversion"/>
  </si>
  <si>
    <t>縣
市
別</t>
    <phoneticPr fontId="2" type="noConversion"/>
  </si>
  <si>
    <t>件數</t>
    <phoneticPr fontId="3" type="noConversion"/>
  </si>
  <si>
    <t>金額</t>
    <phoneticPr fontId="3" type="noConversion"/>
  </si>
  <si>
    <t>職業災害
死亡給付
(件、元)</t>
    <phoneticPr fontId="3" type="noConversion"/>
  </si>
  <si>
    <t>新北市</t>
    <phoneticPr fontId="12" type="noConversion"/>
  </si>
  <si>
    <t>臺北市</t>
    <phoneticPr fontId="12" type="noConversion"/>
  </si>
  <si>
    <t>臺中市</t>
    <phoneticPr fontId="12" type="noConversion"/>
  </si>
  <si>
    <t>臺南市</t>
    <phoneticPr fontId="12" type="noConversion"/>
  </si>
  <si>
    <t>高雄市</t>
    <phoneticPr fontId="12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</si>
  <si>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3" type="noConversion"/>
  </si>
  <si>
    <r>
      <t>65</t>
    </r>
    <r>
      <rPr>
        <sz val="12"/>
        <rFont val="標楷體"/>
        <family val="4"/>
        <charset val="136"/>
      </rPr>
      <t>歲以上</t>
    </r>
    <phoneticPr fontId="3" type="noConversion"/>
  </si>
  <si>
    <t>複分類
項目</t>
    <phoneticPr fontId="3" type="noConversion"/>
  </si>
  <si>
    <t>製造業</t>
  </si>
  <si>
    <t>營造業</t>
  </si>
  <si>
    <t>不動產業</t>
  </si>
  <si>
    <t>支援服務業</t>
  </si>
  <si>
    <t>教育服務業</t>
  </si>
  <si>
    <t>其他服務業</t>
  </si>
  <si>
    <t>複分類
項目</t>
    <phoneticPr fontId="3" type="noConversion"/>
  </si>
  <si>
    <t>件數</t>
    <phoneticPr fontId="3" type="noConversion"/>
  </si>
  <si>
    <t>金額</t>
    <phoneticPr fontId="3" type="noConversion"/>
  </si>
  <si>
    <t>縣
市
別</t>
    <phoneticPr fontId="2" type="noConversion"/>
  </si>
  <si>
    <t>新北市</t>
    <phoneticPr fontId="12" type="noConversion"/>
  </si>
  <si>
    <t>臺北市</t>
    <phoneticPr fontId="12" type="noConversion"/>
  </si>
  <si>
    <t>臺中市</t>
    <phoneticPr fontId="12" type="noConversion"/>
  </si>
  <si>
    <t>臺南市</t>
    <phoneticPr fontId="12" type="noConversion"/>
  </si>
  <si>
    <t>高雄市</t>
    <phoneticPr fontId="12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</si>
  <si>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3" type="noConversion"/>
  </si>
  <si>
    <r>
      <t>65</t>
    </r>
    <r>
      <rPr>
        <sz val="12"/>
        <rFont val="標楷體"/>
        <family val="4"/>
        <charset val="136"/>
      </rPr>
      <t>歲以上</t>
    </r>
    <phoneticPr fontId="3" type="noConversion"/>
  </si>
  <si>
    <t>行
業
別</t>
    <phoneticPr fontId="5" type="noConversion"/>
  </si>
  <si>
    <t>農、林、
漁、牧業</t>
    <phoneticPr fontId="2" type="noConversion"/>
  </si>
  <si>
    <t>礦業及土
石採取業</t>
    <phoneticPr fontId="2" type="noConversion"/>
  </si>
  <si>
    <t>電力及燃
氣供應業</t>
    <phoneticPr fontId="2" type="noConversion"/>
  </si>
  <si>
    <t>用水供應及
污染整治業</t>
    <phoneticPr fontId="2" type="noConversion"/>
  </si>
  <si>
    <t>資訊及通
訊傳播業</t>
    <phoneticPr fontId="2" type="noConversion"/>
  </si>
  <si>
    <t>專業科學及
技術服務業</t>
    <phoneticPr fontId="2" type="noConversion"/>
  </si>
  <si>
    <t>公共行政及
國防；強制
性社會安全</t>
    <phoneticPr fontId="2" type="noConversion"/>
  </si>
  <si>
    <t>醫療保健
及社會工
作服務業</t>
    <phoneticPr fontId="2" type="noConversion"/>
  </si>
  <si>
    <t>藝術娛樂及
休閒服務業</t>
    <phoneticPr fontId="2" type="noConversion"/>
  </si>
  <si>
    <t>年
齡
組
別</t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</si>
  <si>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3" type="noConversion"/>
  </si>
  <si>
    <r>
      <t>98</t>
    </r>
    <r>
      <rPr>
        <sz val="12"/>
        <rFont val="標楷體"/>
        <family val="4"/>
        <charset val="136"/>
      </rPr>
      <t>年</t>
    </r>
    <phoneticPr fontId="3" type="noConversion"/>
  </si>
  <si>
    <r>
      <t>97</t>
    </r>
    <r>
      <rPr>
        <sz val="12"/>
        <rFont val="標楷體"/>
        <family val="4"/>
        <charset val="136"/>
      </rPr>
      <t>年</t>
    </r>
    <phoneticPr fontId="3" type="noConversion"/>
  </si>
  <si>
    <r>
      <t>96</t>
    </r>
    <r>
      <rPr>
        <sz val="12"/>
        <rFont val="標楷體"/>
        <family val="4"/>
        <charset val="136"/>
      </rPr>
      <t>年</t>
    </r>
    <phoneticPr fontId="3" type="noConversion"/>
  </si>
  <si>
    <r>
      <t>101</t>
    </r>
    <r>
      <rPr>
        <sz val="12"/>
        <rFont val="標楷體"/>
        <family val="4"/>
        <charset val="136"/>
      </rPr>
      <t>年</t>
    </r>
    <phoneticPr fontId="3" type="noConversion"/>
  </si>
  <si>
    <r>
      <t>100</t>
    </r>
    <r>
      <rPr>
        <sz val="12"/>
        <rFont val="標楷體"/>
        <family val="4"/>
        <charset val="136"/>
      </rPr>
      <t>年</t>
    </r>
    <phoneticPr fontId="3" type="noConversion"/>
  </si>
  <si>
    <r>
      <t>102</t>
    </r>
    <r>
      <rPr>
        <sz val="12"/>
        <rFont val="標楷體"/>
        <family val="4"/>
        <charset val="136"/>
      </rPr>
      <t>年</t>
    </r>
    <phoneticPr fontId="3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</si>
  <si>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</si>
  <si>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</si>
  <si>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</si>
  <si>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</si>
  <si>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104</t>
    </r>
    <r>
      <rPr>
        <sz val="12"/>
        <rFont val="標楷體"/>
        <family val="4"/>
        <charset val="136"/>
      </rPr>
      <t>年</t>
    </r>
    <phoneticPr fontId="3" type="noConversion"/>
  </si>
  <si>
    <t>桃園市</t>
    <phoneticPr fontId="12" type="noConversion"/>
  </si>
  <si>
    <r>
      <t>105</t>
    </r>
    <r>
      <rPr>
        <sz val="12"/>
        <rFont val="標楷體"/>
        <family val="4"/>
        <charset val="136"/>
      </rPr>
      <t>年</t>
    </r>
    <phoneticPr fontId="3" type="noConversion"/>
  </si>
  <si>
    <t>年
齡
組
別</t>
    <phoneticPr fontId="2" type="noConversion"/>
  </si>
  <si>
    <t>行
業
別</t>
    <phoneticPr fontId="5" type="noConversion"/>
  </si>
  <si>
    <t>農、林、
漁、牧業</t>
    <phoneticPr fontId="2" type="noConversion"/>
  </si>
  <si>
    <t>礦業及土
石採取業</t>
    <phoneticPr fontId="2" type="noConversion"/>
  </si>
  <si>
    <t>電力及燃
氣供應業</t>
    <phoneticPr fontId="2" type="noConversion"/>
  </si>
  <si>
    <t>用水供應及
污染整治業</t>
    <phoneticPr fontId="2" type="noConversion"/>
  </si>
  <si>
    <t>營建工程業</t>
    <phoneticPr fontId="15" type="noConversion"/>
  </si>
  <si>
    <t>批發及零售業</t>
    <phoneticPr fontId="2" type="noConversion"/>
  </si>
  <si>
    <t>運輸及倉儲業</t>
    <phoneticPr fontId="2" type="noConversion"/>
  </si>
  <si>
    <t>住宿及餐飲業</t>
    <phoneticPr fontId="2" type="noConversion"/>
  </si>
  <si>
    <t>金融及保險業</t>
    <phoneticPr fontId="2" type="noConversion"/>
  </si>
  <si>
    <t>專業科學及
技術服務業</t>
    <phoneticPr fontId="2" type="noConversion"/>
  </si>
  <si>
    <t>教育業</t>
    <phoneticPr fontId="15" type="noConversion"/>
  </si>
  <si>
    <t>醫療保健及社會工作服務業</t>
    <phoneticPr fontId="2" type="noConversion"/>
  </si>
  <si>
    <t>項目
名稱</t>
    <phoneticPr fontId="15" type="noConversion"/>
  </si>
  <si>
    <t>職業災害死亡給付
(件、元)</t>
    <phoneticPr fontId="3" type="noConversion"/>
  </si>
  <si>
    <t>職業災害死亡給付
(件、元)</t>
    <phoneticPr fontId="2" type="noConversion"/>
  </si>
  <si>
    <t>項目
名稱</t>
    <phoneticPr fontId="2" type="noConversion"/>
  </si>
  <si>
    <t>批發及零售業</t>
    <phoneticPr fontId="2" type="noConversion"/>
  </si>
  <si>
    <t>運輸及倉儲業</t>
    <phoneticPr fontId="2" type="noConversion"/>
  </si>
  <si>
    <t>住宿及餐飲業</t>
    <phoneticPr fontId="2" type="noConversion"/>
  </si>
  <si>
    <t>金融及保險業</t>
    <phoneticPr fontId="2" type="noConversion"/>
  </si>
  <si>
    <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</si>
  <si>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</si>
  <si>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註：本表不含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年勞保條例修正新增之遺屬年金。</t>
    </r>
    <phoneticPr fontId="2" type="noConversion"/>
  </si>
  <si>
    <r>
      <rPr>
        <sz val="12"/>
        <rFont val="標楷體"/>
        <family val="4"/>
        <charset val="136"/>
      </rPr>
      <t>註：本表不含</t>
    </r>
    <r>
      <rPr>
        <sz val="12"/>
        <rFont val="標楷體"/>
        <family val="4"/>
        <charset val="136"/>
      </rPr>
      <t>遺屬年金。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</si>
  <si>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</t>
    </r>
    <r>
      <rPr>
        <sz val="12"/>
        <rFont val="標楷體"/>
        <family val="4"/>
        <charset val="136"/>
      </rPr>
      <t>遺屬年金。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　依改制後縣市別編製。</t>
    </r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</si>
  <si>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3" type="noConversion"/>
  </si>
  <si>
    <t>勞工保險職業災害一次請領本人死亡給付（含失蹤
津貼）件數及金額－按縣市、年齡組別及行業分</t>
    <phoneticPr fontId="3" type="noConversion"/>
  </si>
  <si>
    <t>勞工保險職業災害一次請領本人死亡給付（含失蹤
津貼）件數及金額－按縣市及年齡組別分</t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</si>
  <si>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</si>
  <si>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t>出版影音及
資通訊業</t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</si>
  <si>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</si>
  <si>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本表不含遺屬年金。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」編製，
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「出版影音及資通訊業」為原「出版、影音製作、傳播及
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資通訊服務業」。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</si>
  <si>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本表不含遺屬年金。</t>
    </r>
    <r>
      <rPr>
        <sz val="12"/>
        <rFont val="Times New Roman"/>
        <family val="1"/>
      </rPr>
      <t xml:space="preserve"> </t>
    </r>
    <phoneticPr fontId="2" type="noConversion"/>
  </si>
  <si>
    <t>職業災害
死亡給付
(件、元)</t>
    <phoneticPr fontId="3" type="noConversion"/>
  </si>
  <si>
    <t>職業災害
死亡給付
(件、元)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</si>
  <si>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</si>
  <si>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3" type="noConversion"/>
  </si>
  <si>
    <t>其他
(特別加保者)</t>
    <phoneticPr fontId="1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</si>
  <si>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本表不含遺屬年金。
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</si>
  <si>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</si>
  <si>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勞工職業災害保險死亡一次金給付(不含失蹤給付)
－按縣市、年齡組別及行業分</t>
    <phoneticPr fontId="15" type="noConversion"/>
  </si>
  <si>
    <r>
      <rPr>
        <sz val="11.5"/>
        <rFont val="標楷體"/>
        <family val="4"/>
        <charset val="136"/>
      </rPr>
      <t>註：</t>
    </r>
    <r>
      <rPr>
        <sz val="11.5"/>
        <rFont val="Times New Roman"/>
        <family val="4"/>
      </rPr>
      <t>1</t>
    </r>
    <r>
      <rPr>
        <sz val="11.5"/>
        <rFont val="Times New Roman"/>
        <family val="1"/>
      </rPr>
      <t xml:space="preserve">. </t>
    </r>
    <r>
      <rPr>
        <sz val="11.5"/>
        <rFont val="標楷體"/>
        <family val="4"/>
        <charset val="136"/>
      </rPr>
      <t>本表不含遺屬年金及失蹤給付。
　　</t>
    </r>
    <r>
      <rPr>
        <sz val="11.5"/>
        <rFont val="Times New Roman"/>
        <family val="4"/>
      </rPr>
      <t>2</t>
    </r>
    <r>
      <rPr>
        <sz val="11.5"/>
        <rFont val="Times New Roman"/>
        <family val="1"/>
      </rPr>
      <t>. 110~112</t>
    </r>
    <r>
      <rPr>
        <sz val="11.5"/>
        <rFont val="標楷體"/>
        <family val="4"/>
        <charset val="136"/>
      </rPr>
      <t>年行業別係依「行業統計分類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第</t>
    </r>
    <r>
      <rPr>
        <sz val="11.5"/>
        <rFont val="Times New Roman"/>
        <family val="1"/>
      </rPr>
      <t>11</t>
    </r>
    <r>
      <rPr>
        <sz val="11.5"/>
        <rFont val="標楷體"/>
        <family val="4"/>
        <charset val="136"/>
      </rPr>
      <t>次修正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」編製。
　　</t>
    </r>
    <r>
      <rPr>
        <sz val="11.5"/>
        <rFont val="Times New Roman"/>
        <family val="4"/>
      </rPr>
      <t>3</t>
    </r>
    <r>
      <rPr>
        <sz val="11.5"/>
        <rFont val="Times New Roman"/>
        <family val="1"/>
      </rPr>
      <t xml:space="preserve">. </t>
    </r>
    <r>
      <rPr>
        <sz val="11.5"/>
        <rFont val="標楷體"/>
        <family val="4"/>
        <charset val="136"/>
      </rPr>
      <t>縣市「其他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特別加保者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」係指依勞工職業災害保險及保護
　　　法第</t>
    </r>
    <r>
      <rPr>
        <sz val="11.5"/>
        <rFont val="Times New Roman"/>
        <family val="1"/>
      </rPr>
      <t>10</t>
    </r>
    <r>
      <rPr>
        <sz val="11.5"/>
        <rFont val="標楷體"/>
        <family val="4"/>
        <charset val="136"/>
      </rPr>
      <t>條規定參加保險者，此項被保險人無地區資料。</t>
    </r>
    <phoneticPr fontId="2" type="noConversion"/>
  </si>
  <si>
    <r>
      <rPr>
        <sz val="11.5"/>
        <rFont val="標楷體"/>
        <family val="4"/>
        <charset val="136"/>
      </rPr>
      <t>註：</t>
    </r>
    <r>
      <rPr>
        <sz val="11.5"/>
        <rFont val="Times New Roman"/>
        <family val="1"/>
      </rPr>
      <t xml:space="preserve">1. </t>
    </r>
    <r>
      <rPr>
        <sz val="11.5"/>
        <rFont val="標楷體"/>
        <family val="4"/>
        <charset val="136"/>
      </rPr>
      <t>勞工職業災害保險及保護法自</t>
    </r>
    <r>
      <rPr>
        <sz val="11.5"/>
        <rFont val="Times New Roman"/>
        <family val="1"/>
      </rPr>
      <t>111</t>
    </r>
    <r>
      <rPr>
        <sz val="11.5"/>
        <rFont val="標楷體"/>
        <family val="4"/>
        <charset val="136"/>
      </rPr>
      <t>年</t>
    </r>
    <r>
      <rPr>
        <sz val="11.5"/>
        <rFont val="Times New Roman"/>
        <family val="1"/>
      </rPr>
      <t>5</t>
    </r>
    <r>
      <rPr>
        <sz val="11.5"/>
        <rFont val="標楷體"/>
        <family val="4"/>
        <charset val="136"/>
      </rPr>
      <t>月實施，本表統計資料
　　　同時編列。
　　</t>
    </r>
    <r>
      <rPr>
        <sz val="11.5"/>
        <rFont val="Times New Roman"/>
        <family val="1"/>
      </rPr>
      <t xml:space="preserve">2. </t>
    </r>
    <r>
      <rPr>
        <sz val="11.5"/>
        <rFont val="標楷體"/>
        <family val="4"/>
        <charset val="136"/>
      </rPr>
      <t>本表不含遺屬年金及失蹤給付。
　　</t>
    </r>
    <r>
      <rPr>
        <sz val="11.5"/>
        <rFont val="Times New Roman"/>
        <family val="1"/>
      </rPr>
      <t>3. 110~112</t>
    </r>
    <r>
      <rPr>
        <sz val="11.5"/>
        <rFont val="標楷體"/>
        <family val="4"/>
        <charset val="136"/>
      </rPr>
      <t>年行業別係依「行業統計分類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第</t>
    </r>
    <r>
      <rPr>
        <sz val="11.5"/>
        <rFont val="Times New Roman"/>
        <family val="1"/>
      </rPr>
      <t>11</t>
    </r>
    <r>
      <rPr>
        <sz val="11.5"/>
        <rFont val="標楷體"/>
        <family val="4"/>
        <charset val="136"/>
      </rPr>
      <t>次修正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」編製。
　　</t>
    </r>
    <r>
      <rPr>
        <sz val="11.5"/>
        <rFont val="Times New Roman"/>
        <family val="1"/>
      </rPr>
      <t xml:space="preserve">4. </t>
    </r>
    <r>
      <rPr>
        <sz val="11.5"/>
        <rFont val="標楷體"/>
        <family val="4"/>
        <charset val="136"/>
      </rPr>
      <t>縣市「其他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特別加保者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」係指依勞工職業災害保險及保護
　　　法第</t>
    </r>
    <r>
      <rPr>
        <sz val="11.5"/>
        <rFont val="Times New Roman"/>
        <family val="1"/>
      </rPr>
      <t>10</t>
    </r>
    <r>
      <rPr>
        <sz val="11.5"/>
        <rFont val="標楷體"/>
        <family val="4"/>
        <charset val="136"/>
      </rPr>
      <t>條規定參加保險者，此項被保險人無地區資料。</t>
    </r>
    <phoneticPr fontId="2" type="noConversion"/>
  </si>
  <si>
    <t>勞工保險職業災害一次請領本人死亡給付（含失蹤津貼）
－按縣市、年齡組別及行業分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</si>
  <si>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本表不含遺屬年金。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
</t>
    </r>
    <r>
      <rPr>
        <sz val="12"/>
        <rFont val="新細明體"/>
        <family val="1"/>
        <charset val="136"/>
      </rPr>
      <t>　　　</t>
    </r>
    <r>
      <rPr>
        <sz val="12"/>
        <rFont val="標楷體"/>
        <family val="4"/>
        <charset val="136"/>
      </rPr>
      <t>編製。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</si>
  <si>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本表不含遺屬年金。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</si>
  <si>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本表不含遺屬年金。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 xml:space="preserve">年起統計資料依改制後
</t>
    </r>
    <r>
      <rPr>
        <sz val="12"/>
        <rFont val="新細明體"/>
        <family val="4"/>
        <charset val="136"/>
      </rPr>
      <t>　　　</t>
    </r>
    <r>
      <rPr>
        <sz val="12"/>
        <rFont val="標楷體"/>
        <family val="4"/>
        <charset val="136"/>
      </rPr>
      <t xml:space="preserve">縣市別編製。
</t>
    </r>
    <r>
      <rPr>
        <sz val="12"/>
        <rFont val="新細明體"/>
        <family val="1"/>
        <charset val="136"/>
      </rPr>
      <t>　　</t>
    </r>
    <r>
      <rPr>
        <sz val="12"/>
        <rFont val="Times New Roman"/>
        <family val="1"/>
      </rPr>
      <t>3.102~104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
</t>
    </r>
    <r>
      <rPr>
        <sz val="12"/>
        <rFont val="新細明體"/>
        <family val="1"/>
        <charset val="136"/>
      </rPr>
      <t>　　　</t>
    </r>
    <r>
      <rPr>
        <sz val="12"/>
        <rFont val="標楷體"/>
        <family val="4"/>
        <charset val="136"/>
      </rPr>
      <t>編製。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</si>
</sst>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;\-* #,##0;_-* &quot;-&quot;;_-@"/>
    <numFmt numFmtId="177" formatCode="_-* #,##0_-;\-* #,##0_-;_-* &quot;-&quot;??_-;_-@_-"/>
    <numFmt numFmtId="178" formatCode="#,##0;\-\ #,###;&quot;-&quot;;_-@"/>
  </numFmts>
  <fonts count="26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name val="Arial"/>
      <family val="2"/>
    </font>
    <font>
      <b/>
      <sz val="13"/>
      <name val="標楷體"/>
      <family val="4"/>
      <charset val="136"/>
    </font>
    <font>
      <sz val="13"/>
      <name val="新細明體"/>
      <family val="1"/>
      <charset val="136"/>
    </font>
    <font>
      <sz val="12"/>
      <name val="Times New Roman"/>
      <family val="4"/>
      <charset val="136"/>
    </font>
    <font>
      <sz val="11.5"/>
      <name val="Times New Roman"/>
      <family val="4"/>
      <charset val="136"/>
    </font>
    <font>
      <sz val="11.5"/>
      <name val="標楷體"/>
      <family val="4"/>
      <charset val="136"/>
    </font>
    <font>
      <sz val="11.5"/>
      <name val="Times New Roman"/>
      <family val="4"/>
    </font>
    <font>
      <sz val="11.5"/>
      <name val="Times New Roman"/>
      <family val="1"/>
    </font>
    <font>
      <sz val="12"/>
      <name val="新細明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43" fontId="1" fillId="0" borderId="0" applyFont="0" applyFill="0" applyBorder="0" applyAlignment="0" applyProtection="0"/>
  </cellStyleXfs>
  <cellXfs count="164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176" fontId="4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4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vertical="center"/>
    </xf>
    <xf numFmtId="176" fontId="11" fillId="0" borderId="4" xfId="0" applyNumberFormat="1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176" fontId="11" fillId="0" borderId="5" xfId="0" applyNumberFormat="1" applyFont="1" applyBorder="1" applyAlignment="1">
      <alignment vertical="center"/>
    </xf>
    <xf numFmtId="177" fontId="11" fillId="0" borderId="4" xfId="2" applyNumberFormat="1" applyFont="1" applyBorder="1" applyAlignment="1">
      <alignment vertical="center"/>
    </xf>
    <xf numFmtId="178" fontId="11" fillId="0" borderId="1" xfId="0" applyNumberFormat="1" applyFont="1" applyBorder="1" applyAlignment="1">
      <alignment vertical="center"/>
    </xf>
    <xf numFmtId="178" fontId="11" fillId="0" borderId="4" xfId="0" applyNumberFormat="1" applyFont="1" applyBorder="1" applyAlignment="1">
      <alignment vertical="center"/>
    </xf>
    <xf numFmtId="178" fontId="10" fillId="0" borderId="1" xfId="0" applyNumberFormat="1" applyFont="1" applyBorder="1" applyAlignment="1">
      <alignment vertical="center"/>
    </xf>
    <xf numFmtId="178" fontId="10" fillId="0" borderId="4" xfId="0" applyNumberFormat="1" applyFont="1" applyBorder="1" applyAlignment="1">
      <alignment vertical="center"/>
    </xf>
    <xf numFmtId="178" fontId="11" fillId="0" borderId="4" xfId="2" applyNumberFormat="1" applyFont="1" applyBorder="1" applyAlignment="1">
      <alignment vertical="center"/>
    </xf>
    <xf numFmtId="178" fontId="11" fillId="0" borderId="2" xfId="0" applyNumberFormat="1" applyFont="1" applyBorder="1" applyAlignment="1">
      <alignment vertical="center"/>
    </xf>
    <xf numFmtId="178" fontId="11" fillId="0" borderId="5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8" fontId="10" fillId="2" borderId="1" xfId="0" applyNumberFormat="1" applyFont="1" applyFill="1" applyBorder="1" applyAlignment="1">
      <alignment vertical="center"/>
    </xf>
    <xf numFmtId="178" fontId="11" fillId="2" borderId="1" xfId="0" applyNumberFormat="1" applyFont="1" applyFill="1" applyBorder="1" applyAlignment="1">
      <alignment vertical="center"/>
    </xf>
    <xf numFmtId="178" fontId="11" fillId="2" borderId="2" xfId="0" applyNumberFormat="1" applyFont="1" applyFill="1" applyBorder="1" applyAlignment="1">
      <alignment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178" fontId="10" fillId="2" borderId="9" xfId="0" applyNumberFormat="1" applyFont="1" applyFill="1" applyBorder="1" applyAlignment="1">
      <alignment vertical="center"/>
    </xf>
    <xf numFmtId="178" fontId="10" fillId="2" borderId="4" xfId="0" applyNumberFormat="1" applyFont="1" applyFill="1" applyBorder="1" applyAlignment="1">
      <alignment vertical="center"/>
    </xf>
    <xf numFmtId="178" fontId="11" fillId="2" borderId="9" xfId="0" applyNumberFormat="1" applyFont="1" applyFill="1" applyBorder="1" applyAlignment="1">
      <alignment vertical="center"/>
    </xf>
    <xf numFmtId="178" fontId="11" fillId="2" borderId="4" xfId="0" applyNumberFormat="1" applyFont="1" applyFill="1" applyBorder="1" applyAlignment="1">
      <alignment vertical="center"/>
    </xf>
    <xf numFmtId="178" fontId="11" fillId="2" borderId="13" xfId="0" applyNumberFormat="1" applyFont="1" applyFill="1" applyBorder="1" applyAlignment="1">
      <alignment vertical="center"/>
    </xf>
    <xf numFmtId="178" fontId="11" fillId="2" borderId="5" xfId="0" applyNumberFormat="1" applyFont="1" applyFill="1" applyBorder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178" fontId="10" fillId="0" borderId="9" xfId="0" applyNumberFormat="1" applyFont="1" applyBorder="1" applyAlignment="1">
      <alignment vertical="center"/>
    </xf>
    <xf numFmtId="178" fontId="11" fillId="0" borderId="9" xfId="0" applyNumberFormat="1" applyFont="1" applyBorder="1" applyAlignment="1">
      <alignment vertical="center"/>
    </xf>
    <xf numFmtId="178" fontId="11" fillId="0" borderId="13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vertical="center"/>
    </xf>
    <xf numFmtId="176" fontId="11" fillId="2" borderId="1" xfId="0" applyNumberFormat="1" applyFont="1" applyFill="1" applyBorder="1" applyAlignment="1">
      <alignment vertical="center"/>
    </xf>
    <xf numFmtId="176" fontId="11" fillId="2" borderId="2" xfId="0" applyNumberFormat="1" applyFont="1" applyFill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176" fontId="10" fillId="2" borderId="9" xfId="0" applyNumberFormat="1" applyFont="1" applyFill="1" applyBorder="1" applyAlignment="1">
      <alignment vertical="center"/>
    </xf>
    <xf numFmtId="176" fontId="10" fillId="2" borderId="4" xfId="0" applyNumberFormat="1" applyFont="1" applyFill="1" applyBorder="1" applyAlignment="1">
      <alignment vertical="center"/>
    </xf>
    <xf numFmtId="176" fontId="11" fillId="2" borderId="9" xfId="0" applyNumberFormat="1" applyFont="1" applyFill="1" applyBorder="1" applyAlignment="1">
      <alignment vertical="center"/>
    </xf>
    <xf numFmtId="176" fontId="11" fillId="2" borderId="4" xfId="0" applyNumberFormat="1" applyFont="1" applyFill="1" applyBorder="1" applyAlignment="1">
      <alignment vertical="center"/>
    </xf>
    <xf numFmtId="177" fontId="11" fillId="2" borderId="4" xfId="2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1" fillId="2" borderId="5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1" fillId="0" borderId="9" xfId="0" applyNumberFormat="1" applyFont="1" applyBorder="1" applyAlignment="1">
      <alignment vertical="center"/>
    </xf>
    <xf numFmtId="176" fontId="11" fillId="0" borderId="13" xfId="0" applyNumberFormat="1" applyFont="1" applyBorder="1" applyAlignment="1">
      <alignment vertical="center"/>
    </xf>
    <xf numFmtId="0" fontId="8" fillId="0" borderId="3" xfId="0" applyFont="1" applyBorder="1" applyAlignment="1">
      <alignment vertical="top"/>
    </xf>
    <xf numFmtId="0" fontId="8" fillId="0" borderId="0" xfId="0" applyFont="1" applyAlignment="1">
      <alignment vertical="top"/>
    </xf>
    <xf numFmtId="0" fontId="13" fillId="0" borderId="14" xfId="0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78" fontId="10" fillId="0" borderId="9" xfId="0" applyNumberFormat="1" applyFont="1" applyFill="1" applyBorder="1" applyAlignment="1">
      <alignment vertical="center"/>
    </xf>
    <xf numFmtId="178" fontId="10" fillId="0" borderId="1" xfId="0" applyNumberFormat="1" applyFont="1" applyFill="1" applyBorder="1" applyAlignment="1">
      <alignment vertical="center"/>
    </xf>
    <xf numFmtId="178" fontId="10" fillId="0" borderId="4" xfId="0" applyNumberFormat="1" applyFont="1" applyFill="1" applyBorder="1" applyAlignment="1">
      <alignment vertical="center"/>
    </xf>
    <xf numFmtId="178" fontId="11" fillId="0" borderId="9" xfId="0" applyNumberFormat="1" applyFont="1" applyFill="1" applyBorder="1" applyAlignment="1">
      <alignment vertical="center"/>
    </xf>
    <xf numFmtId="178" fontId="11" fillId="0" borderId="1" xfId="0" applyNumberFormat="1" applyFont="1" applyFill="1" applyBorder="1" applyAlignment="1">
      <alignment vertical="center"/>
    </xf>
    <xf numFmtId="178" fontId="11" fillId="0" borderId="4" xfId="0" applyNumberFormat="1" applyFont="1" applyFill="1" applyBorder="1" applyAlignment="1">
      <alignment vertical="center"/>
    </xf>
    <xf numFmtId="178" fontId="11" fillId="0" borderId="13" xfId="0" applyNumberFormat="1" applyFont="1" applyFill="1" applyBorder="1" applyAlignment="1">
      <alignment vertical="center"/>
    </xf>
    <xf numFmtId="178" fontId="11" fillId="0" borderId="2" xfId="0" applyNumberFormat="1" applyFont="1" applyFill="1" applyBorder="1" applyAlignment="1">
      <alignment vertical="center"/>
    </xf>
    <xf numFmtId="178" fontId="11" fillId="0" borderId="5" xfId="0" applyNumberFormat="1" applyFont="1" applyFill="1" applyBorder="1" applyAlignment="1">
      <alignment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1" fillId="0" borderId="3" xfId="0" applyFont="1" applyBorder="1" applyAlignment="1">
      <alignment vertical="top" wrapText="1"/>
    </xf>
    <xf numFmtId="0" fontId="24" fillId="0" borderId="3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0" fillId="0" borderId="9" xfId="0" applyBorder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9" xfId="0" applyBorder="1" applyAlignment="1"/>
    <xf numFmtId="0" fontId="0" fillId="0" borderId="1" xfId="0" applyBorder="1" applyAlignment="1">
      <alignment horizontal="center" vertical="top"/>
    </xf>
    <xf numFmtId="0" fontId="0" fillId="0" borderId="9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5" fillId="0" borderId="8" xfId="0" applyNumberFormat="1" applyFon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19" xfId="0" applyNumberFormat="1" applyBorder="1" applyAlignment="1">
      <alignment wrapText="1"/>
    </xf>
    <xf numFmtId="0" fontId="8" fillId="2" borderId="8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0" fontId="5" fillId="2" borderId="16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3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3" xfId="0" applyFont="1" applyFill="1" applyBorder="1" applyAlignment="1">
      <alignment vertical="top" wrapText="1"/>
    </xf>
    <xf numFmtId="0" fontId="18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8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0" fontId="0" fillId="0" borderId="13" xfId="0" applyBorder="1" applyAlignment="1"/>
    <xf numFmtId="0" fontId="5" fillId="0" borderId="8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wrapText="1"/>
    </xf>
  </cellXfs>
  <cellStyles count="3">
    <cellStyle name="一般" xfId="0" builtinId="0"/>
    <cellStyle name="一般_職死亡" xfId="1" xr:uid="{00000000-0005-0000-0000-000001000000}"/>
    <cellStyle name="千分位" xfId="2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63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4" customWidth="1"/>
    <col min="2" max="2" width="4.625" style="4" customWidth="1"/>
    <col min="3" max="3" width="14.75" style="6" customWidth="1"/>
    <col min="4" max="4" width="7.75" style="2" customWidth="1"/>
    <col min="5" max="5" width="12.625" style="2" customWidth="1"/>
    <col min="6" max="6" width="7.75" style="2" customWidth="1"/>
    <col min="7" max="7" width="12.625" style="2" customWidth="1"/>
    <col min="8" max="8" width="7.75" style="2" customWidth="1"/>
    <col min="9" max="9" width="12.625" style="2" customWidth="1"/>
    <col min="10" max="10" width="7.75" style="2" customWidth="1"/>
    <col min="11" max="11" width="12.625" style="2" customWidth="1"/>
    <col min="12" max="12" width="7.75" style="2" customWidth="1"/>
    <col min="13" max="13" width="12.625" style="2" customWidth="1"/>
    <col min="14" max="14" width="7.75" style="2" customWidth="1"/>
    <col min="15" max="15" width="12.625" style="2" customWidth="1"/>
    <col min="16" max="16" width="14.625" style="2" customWidth="1"/>
    <col min="17" max="17" width="9.625" style="2" customWidth="1"/>
    <col min="18" max="18" width="14.625" style="2" customWidth="1"/>
    <col min="19" max="19" width="9.625" style="2" customWidth="1"/>
    <col min="20" max="20" width="14.625" style="2" customWidth="1"/>
    <col min="21" max="16384" width="9" style="2"/>
  </cols>
  <sheetData>
    <row r="1" spans="1:20" s="73" customFormat="1" ht="42" customHeight="1">
      <c r="A1" s="96"/>
      <c r="B1" s="97"/>
      <c r="C1" s="97"/>
      <c r="D1" s="98" t="s">
        <v>141</v>
      </c>
      <c r="E1" s="98"/>
      <c r="F1" s="98"/>
      <c r="G1" s="98"/>
      <c r="H1" s="98"/>
      <c r="I1" s="98"/>
      <c r="J1" s="98" t="s">
        <v>141</v>
      </c>
      <c r="K1" s="98"/>
      <c r="L1" s="98"/>
      <c r="M1" s="98"/>
      <c r="N1" s="98"/>
      <c r="O1" s="98"/>
    </row>
    <row r="2" spans="1:20" ht="18" customHeight="1" thickBot="1"/>
    <row r="3" spans="1:20" s="6" customFormat="1" ht="23.45" customHeight="1">
      <c r="A3" s="111" t="s">
        <v>113</v>
      </c>
      <c r="B3" s="113" t="s">
        <v>56</v>
      </c>
      <c r="C3" s="114"/>
      <c r="D3" s="126" t="s">
        <v>140</v>
      </c>
      <c r="E3" s="127"/>
      <c r="F3" s="127"/>
      <c r="G3" s="127"/>
      <c r="H3" s="127"/>
      <c r="I3" s="128"/>
      <c r="J3" s="119" t="s">
        <v>137</v>
      </c>
      <c r="K3" s="120"/>
      <c r="L3" s="120"/>
      <c r="M3" s="120"/>
      <c r="N3" s="120"/>
      <c r="O3" s="121"/>
    </row>
    <row r="4" spans="1:20" s="3" customFormat="1" ht="23.45" customHeight="1">
      <c r="A4" s="112"/>
      <c r="B4" s="115"/>
      <c r="C4" s="116"/>
      <c r="D4" s="129" t="s">
        <v>92</v>
      </c>
      <c r="E4" s="130"/>
      <c r="F4" s="131" t="s">
        <v>93</v>
      </c>
      <c r="G4" s="130"/>
      <c r="H4" s="131" t="s">
        <v>94</v>
      </c>
      <c r="I4" s="132"/>
      <c r="J4" s="122" t="s">
        <v>92</v>
      </c>
      <c r="K4" s="123"/>
      <c r="L4" s="124" t="s">
        <v>93</v>
      </c>
      <c r="M4" s="123"/>
      <c r="N4" s="124" t="s">
        <v>94</v>
      </c>
      <c r="O4" s="125"/>
    </row>
    <row r="5" spans="1:20" ht="23.45" customHeight="1">
      <c r="A5" s="112"/>
      <c r="B5" s="117"/>
      <c r="C5" s="118"/>
      <c r="D5" s="78" t="s">
        <v>26</v>
      </c>
      <c r="E5" s="79" t="s">
        <v>27</v>
      </c>
      <c r="F5" s="79" t="s">
        <v>26</v>
      </c>
      <c r="G5" s="79" t="s">
        <v>27</v>
      </c>
      <c r="H5" s="79" t="s">
        <v>26</v>
      </c>
      <c r="I5" s="80" t="s">
        <v>27</v>
      </c>
      <c r="J5" s="93" t="s">
        <v>26</v>
      </c>
      <c r="K5" s="94" t="s">
        <v>27</v>
      </c>
      <c r="L5" s="94" t="s">
        <v>26</v>
      </c>
      <c r="M5" s="94" t="s">
        <v>27</v>
      </c>
      <c r="N5" s="94" t="s">
        <v>26</v>
      </c>
      <c r="O5" s="95" t="s">
        <v>27</v>
      </c>
    </row>
    <row r="6" spans="1:20" ht="24.6" customHeight="1">
      <c r="A6" s="101" t="s">
        <v>28</v>
      </c>
      <c r="B6" s="103" t="s">
        <v>45</v>
      </c>
      <c r="C6" s="45" t="s">
        <v>1</v>
      </c>
      <c r="D6" s="81">
        <f t="shared" ref="D6:I6" si="0">SUM(D7:D29)</f>
        <v>614</v>
      </c>
      <c r="E6" s="82">
        <f t="shared" si="0"/>
        <v>549372335</v>
      </c>
      <c r="F6" s="82">
        <f t="shared" si="0"/>
        <v>498</v>
      </c>
      <c r="G6" s="82">
        <f t="shared" si="0"/>
        <v>443762675</v>
      </c>
      <c r="H6" s="82">
        <f t="shared" si="0"/>
        <v>116</v>
      </c>
      <c r="I6" s="83">
        <f t="shared" si="0"/>
        <v>105609660</v>
      </c>
      <c r="J6" s="35">
        <f t="shared" ref="J6:O6" si="1">SUM(J7:J29)</f>
        <v>418</v>
      </c>
      <c r="K6" s="30">
        <f t="shared" si="1"/>
        <v>291343780</v>
      </c>
      <c r="L6" s="30">
        <f t="shared" si="1"/>
        <v>348</v>
      </c>
      <c r="M6" s="30">
        <f t="shared" si="1"/>
        <v>230710310</v>
      </c>
      <c r="N6" s="30">
        <f t="shared" si="1"/>
        <v>70</v>
      </c>
      <c r="O6" s="36">
        <f t="shared" si="1"/>
        <v>60633470</v>
      </c>
      <c r="P6" s="5"/>
      <c r="Q6" s="5"/>
      <c r="R6" s="5"/>
      <c r="S6" s="5"/>
      <c r="T6" s="5"/>
    </row>
    <row r="7" spans="1:20" ht="24.6" customHeight="1">
      <c r="A7" s="101"/>
      <c r="B7" s="104"/>
      <c r="C7" s="45" t="s">
        <v>49</v>
      </c>
      <c r="D7" s="81">
        <f t="shared" ref="D7:D29" si="2">F7+H7</f>
        <v>78</v>
      </c>
      <c r="E7" s="82">
        <f t="shared" ref="E7:E29" si="3">G7+I7</f>
        <v>65857730</v>
      </c>
      <c r="F7" s="82">
        <v>67</v>
      </c>
      <c r="G7" s="82">
        <v>56385230</v>
      </c>
      <c r="H7" s="82">
        <v>11</v>
      </c>
      <c r="I7" s="83">
        <v>9472500</v>
      </c>
      <c r="J7" s="35">
        <f t="shared" ref="J7:K29" si="4">L7+N7</f>
        <v>55</v>
      </c>
      <c r="K7" s="30">
        <f t="shared" si="4"/>
        <v>43171100</v>
      </c>
      <c r="L7" s="30">
        <v>47</v>
      </c>
      <c r="M7" s="30">
        <v>35909600</v>
      </c>
      <c r="N7" s="30">
        <v>8</v>
      </c>
      <c r="O7" s="36">
        <v>7261500</v>
      </c>
      <c r="P7" s="5"/>
      <c r="Q7" s="5"/>
      <c r="R7" s="5"/>
      <c r="S7" s="5"/>
      <c r="T7" s="5"/>
    </row>
    <row r="8" spans="1:20" ht="24.6" customHeight="1">
      <c r="A8" s="101"/>
      <c r="B8" s="104"/>
      <c r="C8" s="45" t="s">
        <v>50</v>
      </c>
      <c r="D8" s="81">
        <f t="shared" si="2"/>
        <v>93</v>
      </c>
      <c r="E8" s="82">
        <f t="shared" si="3"/>
        <v>98515430</v>
      </c>
      <c r="F8" s="82">
        <v>71</v>
      </c>
      <c r="G8" s="82">
        <v>76486465</v>
      </c>
      <c r="H8" s="82">
        <v>22</v>
      </c>
      <c r="I8" s="83">
        <v>22028965</v>
      </c>
      <c r="J8" s="35">
        <f t="shared" si="4"/>
        <v>49</v>
      </c>
      <c r="K8" s="30">
        <f t="shared" si="4"/>
        <v>33636980</v>
      </c>
      <c r="L8" s="30">
        <v>39</v>
      </c>
      <c r="M8" s="30">
        <v>24496775</v>
      </c>
      <c r="N8" s="30">
        <v>10</v>
      </c>
      <c r="O8" s="36">
        <v>9140205</v>
      </c>
      <c r="P8" s="5"/>
      <c r="Q8" s="5"/>
      <c r="R8" s="5"/>
      <c r="S8" s="5"/>
      <c r="T8" s="5"/>
    </row>
    <row r="9" spans="1:20" ht="24.6" customHeight="1">
      <c r="A9" s="101"/>
      <c r="B9" s="104"/>
      <c r="C9" s="45" t="s">
        <v>97</v>
      </c>
      <c r="D9" s="81">
        <f t="shared" si="2"/>
        <v>64</v>
      </c>
      <c r="E9" s="82">
        <f t="shared" si="3"/>
        <v>57805540</v>
      </c>
      <c r="F9" s="82">
        <v>51</v>
      </c>
      <c r="G9" s="82">
        <v>49785665</v>
      </c>
      <c r="H9" s="82">
        <v>13</v>
      </c>
      <c r="I9" s="83">
        <v>8019875</v>
      </c>
      <c r="J9" s="35">
        <f t="shared" si="4"/>
        <v>54</v>
      </c>
      <c r="K9" s="30">
        <f t="shared" si="4"/>
        <v>31390785</v>
      </c>
      <c r="L9" s="30">
        <v>47</v>
      </c>
      <c r="M9" s="30">
        <v>27131700</v>
      </c>
      <c r="N9" s="30">
        <v>7</v>
      </c>
      <c r="O9" s="36">
        <v>4259085</v>
      </c>
      <c r="P9" s="5"/>
      <c r="Q9" s="5"/>
      <c r="R9" s="5"/>
      <c r="S9" s="5"/>
      <c r="T9" s="5"/>
    </row>
    <row r="10" spans="1:20" ht="24.6" customHeight="1">
      <c r="A10" s="101"/>
      <c r="B10" s="104"/>
      <c r="C10" s="45" t="s">
        <v>51</v>
      </c>
      <c r="D10" s="81">
        <f t="shared" si="2"/>
        <v>70</v>
      </c>
      <c r="E10" s="82">
        <f t="shared" si="3"/>
        <v>55317815</v>
      </c>
      <c r="F10" s="82">
        <v>55</v>
      </c>
      <c r="G10" s="82">
        <v>47979330</v>
      </c>
      <c r="H10" s="82">
        <v>15</v>
      </c>
      <c r="I10" s="83">
        <v>7338485</v>
      </c>
      <c r="J10" s="35">
        <f t="shared" si="4"/>
        <v>49</v>
      </c>
      <c r="K10" s="30">
        <f t="shared" si="4"/>
        <v>35490675</v>
      </c>
      <c r="L10" s="30">
        <v>41</v>
      </c>
      <c r="M10" s="30">
        <v>32814175</v>
      </c>
      <c r="N10" s="30">
        <v>8</v>
      </c>
      <c r="O10" s="36">
        <v>2676500</v>
      </c>
      <c r="P10" s="5"/>
      <c r="Q10" s="5"/>
      <c r="R10" s="5"/>
      <c r="S10" s="5"/>
      <c r="T10" s="5"/>
    </row>
    <row r="11" spans="1:20" ht="24.6" customHeight="1">
      <c r="A11" s="101"/>
      <c r="B11" s="104"/>
      <c r="C11" s="45" t="s">
        <v>52</v>
      </c>
      <c r="D11" s="81">
        <f t="shared" si="2"/>
        <v>39</v>
      </c>
      <c r="E11" s="82">
        <f t="shared" si="3"/>
        <v>38665330</v>
      </c>
      <c r="F11" s="82">
        <v>33</v>
      </c>
      <c r="G11" s="82">
        <v>31434345</v>
      </c>
      <c r="H11" s="82">
        <v>6</v>
      </c>
      <c r="I11" s="83">
        <v>7230985</v>
      </c>
      <c r="J11" s="35">
        <f t="shared" si="4"/>
        <v>35</v>
      </c>
      <c r="K11" s="30">
        <f t="shared" si="4"/>
        <v>27919290</v>
      </c>
      <c r="L11" s="30">
        <v>32</v>
      </c>
      <c r="M11" s="30">
        <v>24954205</v>
      </c>
      <c r="N11" s="30">
        <v>3</v>
      </c>
      <c r="O11" s="36">
        <v>2965085</v>
      </c>
      <c r="P11" s="5"/>
      <c r="Q11" s="5"/>
      <c r="R11" s="5"/>
      <c r="S11" s="5"/>
      <c r="T11" s="5"/>
    </row>
    <row r="12" spans="1:20" ht="24.6" customHeight="1">
      <c r="A12" s="101"/>
      <c r="B12" s="104"/>
      <c r="C12" s="45" t="s">
        <v>53</v>
      </c>
      <c r="D12" s="81">
        <f t="shared" si="2"/>
        <v>79</v>
      </c>
      <c r="E12" s="82">
        <f t="shared" si="3"/>
        <v>67903020</v>
      </c>
      <c r="F12" s="82">
        <v>63</v>
      </c>
      <c r="G12" s="82">
        <v>51007085</v>
      </c>
      <c r="H12" s="82">
        <v>16</v>
      </c>
      <c r="I12" s="83">
        <v>16895935</v>
      </c>
      <c r="J12" s="35">
        <f t="shared" si="4"/>
        <v>59</v>
      </c>
      <c r="K12" s="30">
        <f t="shared" si="4"/>
        <v>48029770</v>
      </c>
      <c r="L12" s="30">
        <v>42</v>
      </c>
      <c r="M12" s="30">
        <v>28253825</v>
      </c>
      <c r="N12" s="30">
        <v>17</v>
      </c>
      <c r="O12" s="36">
        <v>19775945</v>
      </c>
      <c r="P12" s="5"/>
      <c r="Q12" s="5"/>
      <c r="R12" s="5"/>
      <c r="S12" s="5"/>
      <c r="T12" s="5"/>
    </row>
    <row r="13" spans="1:20" ht="24.6" customHeight="1">
      <c r="A13" s="102"/>
      <c r="B13" s="105"/>
      <c r="C13" s="46" t="s">
        <v>3</v>
      </c>
      <c r="D13" s="84">
        <f t="shared" si="2"/>
        <v>8</v>
      </c>
      <c r="E13" s="85">
        <f t="shared" si="3"/>
        <v>8111165</v>
      </c>
      <c r="F13" s="85">
        <v>8</v>
      </c>
      <c r="G13" s="85">
        <v>8111165</v>
      </c>
      <c r="H13" s="85">
        <v>0</v>
      </c>
      <c r="I13" s="86">
        <v>0</v>
      </c>
      <c r="J13" s="37">
        <f t="shared" si="4"/>
        <v>21</v>
      </c>
      <c r="K13" s="31">
        <f t="shared" si="4"/>
        <v>11800245</v>
      </c>
      <c r="L13" s="31">
        <v>18</v>
      </c>
      <c r="M13" s="31">
        <v>8721245</v>
      </c>
      <c r="N13" s="31">
        <v>3</v>
      </c>
      <c r="O13" s="38">
        <v>3079000</v>
      </c>
      <c r="P13" s="5"/>
      <c r="Q13" s="5"/>
      <c r="R13" s="5"/>
      <c r="S13" s="5"/>
      <c r="T13" s="5"/>
    </row>
    <row r="14" spans="1:20" ht="24.6" customHeight="1">
      <c r="A14" s="102"/>
      <c r="B14" s="105"/>
      <c r="C14" s="46" t="s">
        <v>5</v>
      </c>
      <c r="D14" s="84">
        <f t="shared" si="2"/>
        <v>15</v>
      </c>
      <c r="E14" s="85">
        <f t="shared" si="3"/>
        <v>13662390</v>
      </c>
      <c r="F14" s="85">
        <v>11</v>
      </c>
      <c r="G14" s="85">
        <v>10787975</v>
      </c>
      <c r="H14" s="85">
        <v>4</v>
      </c>
      <c r="I14" s="86">
        <v>2874415</v>
      </c>
      <c r="J14" s="37">
        <f t="shared" si="4"/>
        <v>5</v>
      </c>
      <c r="K14" s="31">
        <f t="shared" si="4"/>
        <v>2952500</v>
      </c>
      <c r="L14" s="31">
        <v>4</v>
      </c>
      <c r="M14" s="31">
        <v>1386500</v>
      </c>
      <c r="N14" s="31">
        <v>1</v>
      </c>
      <c r="O14" s="38">
        <v>1566000</v>
      </c>
      <c r="P14" s="5"/>
      <c r="Q14" s="5"/>
      <c r="R14" s="5"/>
      <c r="S14" s="5"/>
      <c r="T14" s="5"/>
    </row>
    <row r="15" spans="1:20" ht="24.6" customHeight="1">
      <c r="A15" s="102"/>
      <c r="B15" s="105"/>
      <c r="C15" s="46" t="s">
        <v>6</v>
      </c>
      <c r="D15" s="84">
        <f t="shared" si="2"/>
        <v>10</v>
      </c>
      <c r="E15" s="85">
        <f t="shared" si="3"/>
        <v>9048790</v>
      </c>
      <c r="F15" s="85">
        <v>10</v>
      </c>
      <c r="G15" s="85">
        <v>7991790</v>
      </c>
      <c r="H15" s="85">
        <v>0</v>
      </c>
      <c r="I15" s="86">
        <v>1057000</v>
      </c>
      <c r="J15" s="37">
        <f t="shared" si="4"/>
        <v>10</v>
      </c>
      <c r="K15" s="31">
        <f t="shared" si="4"/>
        <v>9585390</v>
      </c>
      <c r="L15" s="31">
        <v>9</v>
      </c>
      <c r="M15" s="31">
        <v>9453265</v>
      </c>
      <c r="N15" s="31">
        <v>1</v>
      </c>
      <c r="O15" s="38">
        <v>132125</v>
      </c>
      <c r="P15" s="5"/>
      <c r="Q15" s="5"/>
      <c r="R15" s="5"/>
      <c r="S15" s="5"/>
      <c r="T15" s="5"/>
    </row>
    <row r="16" spans="1:20" ht="24.6" customHeight="1">
      <c r="A16" s="102"/>
      <c r="B16" s="105"/>
      <c r="C16" s="46" t="s">
        <v>8</v>
      </c>
      <c r="D16" s="84">
        <f t="shared" si="2"/>
        <v>26</v>
      </c>
      <c r="E16" s="85">
        <f t="shared" si="3"/>
        <v>15513385</v>
      </c>
      <c r="F16" s="85">
        <v>21</v>
      </c>
      <c r="G16" s="85">
        <v>10015735</v>
      </c>
      <c r="H16" s="85">
        <v>5</v>
      </c>
      <c r="I16" s="86">
        <v>5497650</v>
      </c>
      <c r="J16" s="37">
        <f t="shared" si="4"/>
        <v>20</v>
      </c>
      <c r="K16" s="31">
        <f t="shared" si="4"/>
        <v>10747415</v>
      </c>
      <c r="L16" s="31">
        <v>16</v>
      </c>
      <c r="M16" s="31">
        <v>5459290</v>
      </c>
      <c r="N16" s="31">
        <v>4</v>
      </c>
      <c r="O16" s="38">
        <v>5288125</v>
      </c>
      <c r="P16" s="5"/>
      <c r="Q16" s="5"/>
      <c r="R16" s="5"/>
      <c r="S16" s="5"/>
      <c r="T16" s="5"/>
    </row>
    <row r="17" spans="1:20" ht="24.6" customHeight="1">
      <c r="A17" s="102"/>
      <c r="B17" s="105"/>
      <c r="C17" s="46" t="s">
        <v>9</v>
      </c>
      <c r="D17" s="84">
        <f t="shared" si="2"/>
        <v>16</v>
      </c>
      <c r="E17" s="85">
        <f t="shared" si="3"/>
        <v>8784400</v>
      </c>
      <c r="F17" s="85">
        <v>14</v>
      </c>
      <c r="G17" s="85">
        <v>6532400</v>
      </c>
      <c r="H17" s="85">
        <v>2</v>
      </c>
      <c r="I17" s="86">
        <v>2252000</v>
      </c>
      <c r="J17" s="37">
        <f t="shared" si="4"/>
        <v>8</v>
      </c>
      <c r="K17" s="31">
        <f t="shared" si="4"/>
        <v>7619250</v>
      </c>
      <c r="L17" s="31">
        <v>6</v>
      </c>
      <c r="M17" s="31">
        <v>5785250</v>
      </c>
      <c r="N17" s="31">
        <v>2</v>
      </c>
      <c r="O17" s="38">
        <v>1834000</v>
      </c>
      <c r="P17" s="5"/>
      <c r="Q17" s="5"/>
      <c r="R17" s="5"/>
      <c r="S17" s="5"/>
      <c r="T17" s="5"/>
    </row>
    <row r="18" spans="1:20" ht="24.6" customHeight="1">
      <c r="A18" s="102"/>
      <c r="B18" s="105"/>
      <c r="C18" s="46" t="s">
        <v>10</v>
      </c>
      <c r="D18" s="84">
        <f t="shared" si="2"/>
        <v>22</v>
      </c>
      <c r="E18" s="85">
        <f t="shared" si="3"/>
        <v>15043835</v>
      </c>
      <c r="F18" s="85">
        <v>14</v>
      </c>
      <c r="G18" s="85">
        <v>7539070</v>
      </c>
      <c r="H18" s="85">
        <v>8</v>
      </c>
      <c r="I18" s="86">
        <v>7504765</v>
      </c>
      <c r="J18" s="37">
        <f t="shared" si="4"/>
        <v>6</v>
      </c>
      <c r="K18" s="31">
        <f t="shared" si="4"/>
        <v>1008150</v>
      </c>
      <c r="L18" s="31">
        <v>6</v>
      </c>
      <c r="M18" s="31">
        <v>1008150</v>
      </c>
      <c r="N18" s="31">
        <v>0</v>
      </c>
      <c r="O18" s="38">
        <v>0</v>
      </c>
      <c r="P18" s="5"/>
      <c r="Q18" s="5"/>
      <c r="R18" s="5"/>
      <c r="S18" s="5"/>
      <c r="T18" s="5"/>
    </row>
    <row r="19" spans="1:20" ht="24.6" customHeight="1">
      <c r="A19" s="102"/>
      <c r="B19" s="105"/>
      <c r="C19" s="46" t="s">
        <v>11</v>
      </c>
      <c r="D19" s="84">
        <f t="shared" si="2"/>
        <v>13</v>
      </c>
      <c r="E19" s="85">
        <f t="shared" si="3"/>
        <v>12777750</v>
      </c>
      <c r="F19" s="85">
        <v>11</v>
      </c>
      <c r="G19" s="85">
        <v>10307750</v>
      </c>
      <c r="H19" s="85">
        <v>2</v>
      </c>
      <c r="I19" s="86">
        <v>2470000</v>
      </c>
      <c r="J19" s="37">
        <f t="shared" si="4"/>
        <v>5</v>
      </c>
      <c r="K19" s="31">
        <f t="shared" si="4"/>
        <v>1638250</v>
      </c>
      <c r="L19" s="31">
        <v>5</v>
      </c>
      <c r="M19" s="31">
        <v>1638250</v>
      </c>
      <c r="N19" s="31">
        <v>0</v>
      </c>
      <c r="O19" s="38">
        <v>0</v>
      </c>
      <c r="P19" s="5"/>
      <c r="Q19" s="5"/>
      <c r="R19" s="5"/>
      <c r="S19" s="5"/>
      <c r="T19" s="5"/>
    </row>
    <row r="20" spans="1:20" ht="24.6" customHeight="1">
      <c r="A20" s="102"/>
      <c r="B20" s="105"/>
      <c r="C20" s="46" t="s">
        <v>14</v>
      </c>
      <c r="D20" s="84">
        <f t="shared" si="2"/>
        <v>27</v>
      </c>
      <c r="E20" s="85">
        <f t="shared" si="3"/>
        <v>22306445</v>
      </c>
      <c r="F20" s="85">
        <v>22</v>
      </c>
      <c r="G20" s="85">
        <v>15684610</v>
      </c>
      <c r="H20" s="85">
        <v>5</v>
      </c>
      <c r="I20" s="86">
        <v>6621835</v>
      </c>
      <c r="J20" s="37">
        <f t="shared" si="4"/>
        <v>11</v>
      </c>
      <c r="K20" s="31">
        <f t="shared" si="4"/>
        <v>9031955</v>
      </c>
      <c r="L20" s="31">
        <v>9</v>
      </c>
      <c r="M20" s="31">
        <v>8667790</v>
      </c>
      <c r="N20" s="31">
        <v>2</v>
      </c>
      <c r="O20" s="38">
        <v>364165</v>
      </c>
      <c r="P20" s="5"/>
      <c r="Q20" s="5"/>
      <c r="R20" s="5"/>
      <c r="S20" s="5"/>
      <c r="T20" s="5"/>
    </row>
    <row r="21" spans="1:20" ht="24.6" customHeight="1">
      <c r="A21" s="102"/>
      <c r="B21" s="105"/>
      <c r="C21" s="46" t="s">
        <v>15</v>
      </c>
      <c r="D21" s="84">
        <f t="shared" si="2"/>
        <v>4</v>
      </c>
      <c r="E21" s="85">
        <f t="shared" si="3"/>
        <v>4096720</v>
      </c>
      <c r="F21" s="85">
        <v>3</v>
      </c>
      <c r="G21" s="85">
        <v>3056040</v>
      </c>
      <c r="H21" s="85">
        <v>1</v>
      </c>
      <c r="I21" s="86">
        <v>1040680</v>
      </c>
      <c r="J21" s="37">
        <f t="shared" si="4"/>
        <v>1</v>
      </c>
      <c r="K21" s="31">
        <f t="shared" si="4"/>
        <v>143500</v>
      </c>
      <c r="L21" s="31">
        <v>1</v>
      </c>
      <c r="M21" s="31">
        <v>143500</v>
      </c>
      <c r="N21" s="31">
        <v>0</v>
      </c>
      <c r="O21" s="38">
        <v>0</v>
      </c>
      <c r="P21" s="5"/>
      <c r="Q21" s="5"/>
      <c r="R21" s="5"/>
      <c r="S21" s="5"/>
      <c r="T21" s="5"/>
    </row>
    <row r="22" spans="1:20" ht="24.6" customHeight="1">
      <c r="A22" s="102"/>
      <c r="B22" s="105"/>
      <c r="C22" s="46" t="s">
        <v>16</v>
      </c>
      <c r="D22" s="84">
        <f t="shared" si="2"/>
        <v>14</v>
      </c>
      <c r="E22" s="85">
        <f t="shared" si="3"/>
        <v>13491960</v>
      </c>
      <c r="F22" s="85">
        <v>13</v>
      </c>
      <c r="G22" s="85">
        <v>13335460</v>
      </c>
      <c r="H22" s="85">
        <v>1</v>
      </c>
      <c r="I22" s="86">
        <v>156500</v>
      </c>
      <c r="J22" s="37">
        <f t="shared" si="4"/>
        <v>6</v>
      </c>
      <c r="K22" s="31">
        <f t="shared" si="4"/>
        <v>4452680</v>
      </c>
      <c r="L22" s="31">
        <v>6</v>
      </c>
      <c r="M22" s="31">
        <v>4452680</v>
      </c>
      <c r="N22" s="31">
        <v>0</v>
      </c>
      <c r="O22" s="38">
        <v>0</v>
      </c>
      <c r="P22" s="5"/>
      <c r="Q22" s="5"/>
      <c r="R22" s="5"/>
      <c r="S22" s="5"/>
      <c r="T22" s="5"/>
    </row>
    <row r="23" spans="1:20" ht="24.6" customHeight="1">
      <c r="A23" s="102"/>
      <c r="B23" s="105"/>
      <c r="C23" s="46" t="s">
        <v>17</v>
      </c>
      <c r="D23" s="84">
        <f t="shared" si="2"/>
        <v>4</v>
      </c>
      <c r="E23" s="85">
        <f t="shared" si="3"/>
        <v>2360325</v>
      </c>
      <c r="F23" s="85">
        <v>4</v>
      </c>
      <c r="G23" s="85">
        <v>2360325</v>
      </c>
      <c r="H23" s="85">
        <v>0</v>
      </c>
      <c r="I23" s="86">
        <v>0</v>
      </c>
      <c r="J23" s="37">
        <f t="shared" si="4"/>
        <v>4</v>
      </c>
      <c r="K23" s="31">
        <f t="shared" si="4"/>
        <v>1489210</v>
      </c>
      <c r="L23" s="31">
        <v>3</v>
      </c>
      <c r="M23" s="31">
        <v>1362960</v>
      </c>
      <c r="N23" s="31">
        <v>1</v>
      </c>
      <c r="O23" s="38">
        <v>126250</v>
      </c>
      <c r="P23" s="5"/>
      <c r="Q23" s="5"/>
      <c r="R23" s="5"/>
      <c r="S23" s="5"/>
      <c r="T23" s="5"/>
    </row>
    <row r="24" spans="1:20" ht="24.6" customHeight="1">
      <c r="A24" s="102"/>
      <c r="B24" s="105"/>
      <c r="C24" s="46" t="s">
        <v>18</v>
      </c>
      <c r="D24" s="84">
        <f t="shared" si="2"/>
        <v>6</v>
      </c>
      <c r="E24" s="85">
        <f t="shared" si="3"/>
        <v>6775945</v>
      </c>
      <c r="F24" s="85">
        <v>5</v>
      </c>
      <c r="G24" s="85">
        <v>6661235</v>
      </c>
      <c r="H24" s="85">
        <v>1</v>
      </c>
      <c r="I24" s="86">
        <v>114710</v>
      </c>
      <c r="J24" s="37">
        <f t="shared" si="4"/>
        <v>2</v>
      </c>
      <c r="K24" s="31">
        <f t="shared" si="4"/>
        <v>458000</v>
      </c>
      <c r="L24" s="31">
        <v>2</v>
      </c>
      <c r="M24" s="31">
        <v>458000</v>
      </c>
      <c r="N24" s="31">
        <v>0</v>
      </c>
      <c r="O24" s="38">
        <v>0</v>
      </c>
      <c r="P24" s="5"/>
      <c r="Q24" s="5"/>
      <c r="R24" s="5"/>
      <c r="S24" s="5"/>
      <c r="T24" s="5"/>
    </row>
    <row r="25" spans="1:20" ht="24.6" customHeight="1">
      <c r="A25" s="102"/>
      <c r="B25" s="105"/>
      <c r="C25" s="46" t="s">
        <v>19</v>
      </c>
      <c r="D25" s="84">
        <f t="shared" si="2"/>
        <v>19</v>
      </c>
      <c r="E25" s="85">
        <f t="shared" si="3"/>
        <v>25445845</v>
      </c>
      <c r="F25" s="85">
        <v>17</v>
      </c>
      <c r="G25" s="85">
        <v>23113000</v>
      </c>
      <c r="H25" s="85">
        <v>2</v>
      </c>
      <c r="I25" s="86">
        <v>2332845</v>
      </c>
      <c r="J25" s="37">
        <f t="shared" si="4"/>
        <v>13</v>
      </c>
      <c r="K25" s="31">
        <f t="shared" si="4"/>
        <v>8024385</v>
      </c>
      <c r="L25" s="31">
        <v>10</v>
      </c>
      <c r="M25" s="31">
        <v>5858900</v>
      </c>
      <c r="N25" s="31">
        <v>3</v>
      </c>
      <c r="O25" s="38">
        <v>2165485</v>
      </c>
      <c r="P25" s="5"/>
      <c r="Q25" s="5"/>
      <c r="R25" s="5"/>
      <c r="S25" s="5"/>
      <c r="T25" s="5"/>
    </row>
    <row r="26" spans="1:20" ht="24.6" customHeight="1">
      <c r="A26" s="102"/>
      <c r="B26" s="105"/>
      <c r="C26" s="46" t="s">
        <v>21</v>
      </c>
      <c r="D26" s="84">
        <f t="shared" si="2"/>
        <v>5</v>
      </c>
      <c r="E26" s="85">
        <f t="shared" si="3"/>
        <v>6161015</v>
      </c>
      <c r="F26" s="85">
        <v>3</v>
      </c>
      <c r="G26" s="85">
        <v>3460500</v>
      </c>
      <c r="H26" s="85">
        <v>2</v>
      </c>
      <c r="I26" s="86">
        <v>2700515</v>
      </c>
      <c r="J26" s="37">
        <f t="shared" si="4"/>
        <v>4</v>
      </c>
      <c r="K26" s="31">
        <f t="shared" si="4"/>
        <v>2610250</v>
      </c>
      <c r="L26" s="31">
        <v>4</v>
      </c>
      <c r="M26" s="31">
        <v>2610250</v>
      </c>
      <c r="N26" s="31">
        <v>0</v>
      </c>
      <c r="O26" s="38">
        <v>0</v>
      </c>
      <c r="P26" s="5"/>
      <c r="Q26" s="5"/>
      <c r="R26" s="5"/>
      <c r="S26" s="5"/>
      <c r="T26" s="5"/>
    </row>
    <row r="27" spans="1:20" ht="24.6" customHeight="1">
      <c r="A27" s="102"/>
      <c r="B27" s="105"/>
      <c r="C27" s="46" t="s">
        <v>23</v>
      </c>
      <c r="D27" s="84">
        <f t="shared" si="2"/>
        <v>1</v>
      </c>
      <c r="E27" s="85">
        <f t="shared" si="3"/>
        <v>1498500</v>
      </c>
      <c r="F27" s="85">
        <v>1</v>
      </c>
      <c r="G27" s="85">
        <v>1498500</v>
      </c>
      <c r="H27" s="85">
        <v>0</v>
      </c>
      <c r="I27" s="86">
        <v>0</v>
      </c>
      <c r="J27" s="37">
        <f t="shared" si="4"/>
        <v>1</v>
      </c>
      <c r="K27" s="31">
        <f t="shared" si="4"/>
        <v>144000</v>
      </c>
      <c r="L27" s="31">
        <v>1</v>
      </c>
      <c r="M27" s="31">
        <v>144000</v>
      </c>
      <c r="N27" s="31">
        <v>0</v>
      </c>
      <c r="O27" s="38">
        <v>0</v>
      </c>
      <c r="P27" s="5"/>
      <c r="Q27" s="5"/>
      <c r="R27" s="5"/>
      <c r="S27" s="5"/>
      <c r="T27" s="5"/>
    </row>
    <row r="28" spans="1:20" ht="24.6" customHeight="1">
      <c r="A28" s="102"/>
      <c r="B28" s="105"/>
      <c r="C28" s="46" t="s">
        <v>24</v>
      </c>
      <c r="D28" s="84">
        <f t="shared" si="2"/>
        <v>1</v>
      </c>
      <c r="E28" s="85">
        <f t="shared" si="3"/>
        <v>229000</v>
      </c>
      <c r="F28" s="85">
        <v>1</v>
      </c>
      <c r="G28" s="85">
        <v>229000</v>
      </c>
      <c r="H28" s="85">
        <v>0</v>
      </c>
      <c r="I28" s="86">
        <v>0</v>
      </c>
      <c r="J28" s="37">
        <f t="shared" ref="J28" si="5">L28+N28</f>
        <v>0</v>
      </c>
      <c r="K28" s="31">
        <f t="shared" ref="K28" si="6">M28+O28</f>
        <v>0</v>
      </c>
      <c r="L28" s="31">
        <v>0</v>
      </c>
      <c r="M28" s="31">
        <v>0</v>
      </c>
      <c r="N28" s="31">
        <v>0</v>
      </c>
      <c r="O28" s="38">
        <v>0</v>
      </c>
      <c r="P28" s="5"/>
      <c r="Q28" s="5"/>
      <c r="R28" s="5"/>
      <c r="S28" s="5"/>
      <c r="T28" s="5"/>
    </row>
    <row r="29" spans="1:20" ht="33">
      <c r="A29" s="102"/>
      <c r="B29" s="105"/>
      <c r="C29" s="49" t="s">
        <v>138</v>
      </c>
      <c r="D29" s="84">
        <f t="shared" si="2"/>
        <v>0</v>
      </c>
      <c r="E29" s="85">
        <f t="shared" si="3"/>
        <v>0</v>
      </c>
      <c r="F29" s="85">
        <v>0</v>
      </c>
      <c r="G29" s="85">
        <v>0</v>
      </c>
      <c r="H29" s="85">
        <v>0</v>
      </c>
      <c r="I29" s="86">
        <v>0</v>
      </c>
      <c r="J29" s="37">
        <f t="shared" si="4"/>
        <v>0</v>
      </c>
      <c r="K29" s="31">
        <f t="shared" si="4"/>
        <v>0</v>
      </c>
      <c r="L29" s="31">
        <v>0</v>
      </c>
      <c r="M29" s="31">
        <v>0</v>
      </c>
      <c r="N29" s="31">
        <v>0</v>
      </c>
      <c r="O29" s="38">
        <v>0</v>
      </c>
      <c r="P29" s="5"/>
      <c r="Q29" s="5"/>
      <c r="R29" s="5"/>
      <c r="S29" s="5"/>
      <c r="T29" s="5"/>
    </row>
    <row r="30" spans="1:20" ht="28.9" customHeight="1">
      <c r="A30" s="101" t="s">
        <v>28</v>
      </c>
      <c r="B30" s="103" t="s">
        <v>99</v>
      </c>
      <c r="C30" s="45" t="s">
        <v>1</v>
      </c>
      <c r="D30" s="81">
        <f t="shared" ref="D30:E30" si="7">SUM(D31:D42)</f>
        <v>614</v>
      </c>
      <c r="E30" s="82">
        <f t="shared" si="7"/>
        <v>549372335</v>
      </c>
      <c r="F30" s="82">
        <f>SUM(F31:F42)</f>
        <v>498</v>
      </c>
      <c r="G30" s="82">
        <f>SUM(G31:G42)</f>
        <v>443762675</v>
      </c>
      <c r="H30" s="82">
        <f>SUM(H31:H42)</f>
        <v>116</v>
      </c>
      <c r="I30" s="83">
        <f>SUM(I31:I42)</f>
        <v>105609660</v>
      </c>
      <c r="J30" s="35">
        <f t="shared" ref="J30:K30" si="8">SUM(J31:J42)</f>
        <v>418</v>
      </c>
      <c r="K30" s="30">
        <f t="shared" si="8"/>
        <v>291343780</v>
      </c>
      <c r="L30" s="30">
        <f>SUM(L31:L42)</f>
        <v>348</v>
      </c>
      <c r="M30" s="30">
        <f>SUM(M31:M42)</f>
        <v>230710310</v>
      </c>
      <c r="N30" s="30">
        <f>SUM(N31:N42)</f>
        <v>70</v>
      </c>
      <c r="O30" s="36">
        <f>SUM(O31:O42)</f>
        <v>60633470</v>
      </c>
      <c r="P30" s="5"/>
      <c r="Q30" s="5"/>
      <c r="R30" s="5"/>
      <c r="S30" s="5"/>
      <c r="T30" s="5"/>
    </row>
    <row r="31" spans="1:20" ht="28.9" customHeight="1">
      <c r="A31" s="106"/>
      <c r="B31" s="107"/>
      <c r="C31" s="46" t="s">
        <v>54</v>
      </c>
      <c r="D31" s="84">
        <f t="shared" ref="D31:D42" si="9">F31+H31</f>
        <v>0</v>
      </c>
      <c r="E31" s="85">
        <f t="shared" ref="E31:E42" si="10">G31+I31</f>
        <v>0</v>
      </c>
      <c r="F31" s="85">
        <v>0</v>
      </c>
      <c r="G31" s="85">
        <v>0</v>
      </c>
      <c r="H31" s="85">
        <v>0</v>
      </c>
      <c r="I31" s="86">
        <v>0</v>
      </c>
      <c r="J31" s="37">
        <f t="shared" ref="J31:K42" si="11">L31+N31</f>
        <v>0</v>
      </c>
      <c r="K31" s="31">
        <f t="shared" si="11"/>
        <v>0</v>
      </c>
      <c r="L31" s="31">
        <v>0</v>
      </c>
      <c r="M31" s="31">
        <v>0</v>
      </c>
      <c r="N31" s="31">
        <v>0</v>
      </c>
      <c r="O31" s="38">
        <v>0</v>
      </c>
      <c r="P31" s="5"/>
      <c r="Q31" s="5"/>
      <c r="R31" s="5"/>
      <c r="S31" s="5"/>
      <c r="T31" s="5"/>
    </row>
    <row r="32" spans="1:20" ht="28.9" customHeight="1">
      <c r="A32" s="106"/>
      <c r="B32" s="107"/>
      <c r="C32" s="47" t="s">
        <v>34</v>
      </c>
      <c r="D32" s="84">
        <f t="shared" si="9"/>
        <v>12</v>
      </c>
      <c r="E32" s="85">
        <f t="shared" si="10"/>
        <v>11866750</v>
      </c>
      <c r="F32" s="85">
        <v>9</v>
      </c>
      <c r="G32" s="85">
        <v>8397655</v>
      </c>
      <c r="H32" s="85">
        <v>3</v>
      </c>
      <c r="I32" s="86">
        <v>3469095</v>
      </c>
      <c r="J32" s="37">
        <f t="shared" si="11"/>
        <v>13</v>
      </c>
      <c r="K32" s="31">
        <f t="shared" si="11"/>
        <v>7193815</v>
      </c>
      <c r="L32" s="31">
        <v>6</v>
      </c>
      <c r="M32" s="31">
        <v>4144790</v>
      </c>
      <c r="N32" s="31">
        <v>7</v>
      </c>
      <c r="O32" s="38">
        <v>3049025</v>
      </c>
      <c r="P32" s="5"/>
      <c r="Q32" s="5"/>
      <c r="R32" s="5"/>
      <c r="S32" s="5"/>
      <c r="T32" s="5"/>
    </row>
    <row r="33" spans="1:20" ht="28.9" customHeight="1">
      <c r="A33" s="106"/>
      <c r="B33" s="107"/>
      <c r="C33" s="47" t="s">
        <v>35</v>
      </c>
      <c r="D33" s="84">
        <f t="shared" si="9"/>
        <v>50</v>
      </c>
      <c r="E33" s="85">
        <f t="shared" si="10"/>
        <v>40624145</v>
      </c>
      <c r="F33" s="85">
        <v>34</v>
      </c>
      <c r="G33" s="85">
        <v>27210485</v>
      </c>
      <c r="H33" s="85">
        <v>16</v>
      </c>
      <c r="I33" s="86">
        <v>13413660</v>
      </c>
      <c r="J33" s="37">
        <f t="shared" si="11"/>
        <v>40</v>
      </c>
      <c r="K33" s="31">
        <f t="shared" si="11"/>
        <v>19113325</v>
      </c>
      <c r="L33" s="31">
        <v>33</v>
      </c>
      <c r="M33" s="31">
        <v>15690075</v>
      </c>
      <c r="N33" s="31">
        <v>7</v>
      </c>
      <c r="O33" s="38">
        <v>3423250</v>
      </c>
      <c r="P33" s="5"/>
      <c r="Q33" s="5"/>
      <c r="R33" s="5"/>
      <c r="S33" s="5"/>
      <c r="T33" s="5"/>
    </row>
    <row r="34" spans="1:20" ht="28.9" customHeight="1">
      <c r="A34" s="106"/>
      <c r="B34" s="107"/>
      <c r="C34" s="47" t="s">
        <v>36</v>
      </c>
      <c r="D34" s="84">
        <f t="shared" si="9"/>
        <v>66</v>
      </c>
      <c r="E34" s="85">
        <f t="shared" si="10"/>
        <v>47234830</v>
      </c>
      <c r="F34" s="85">
        <v>48</v>
      </c>
      <c r="G34" s="85">
        <v>36104970</v>
      </c>
      <c r="H34" s="85">
        <v>18</v>
      </c>
      <c r="I34" s="86">
        <v>11129860</v>
      </c>
      <c r="J34" s="37">
        <f t="shared" si="11"/>
        <v>57</v>
      </c>
      <c r="K34" s="31">
        <f t="shared" si="11"/>
        <v>18401775</v>
      </c>
      <c r="L34" s="31">
        <v>48</v>
      </c>
      <c r="M34" s="31">
        <v>16952190</v>
      </c>
      <c r="N34" s="31">
        <v>9</v>
      </c>
      <c r="O34" s="38">
        <v>1449585</v>
      </c>
      <c r="P34" s="5"/>
      <c r="Q34" s="5"/>
      <c r="R34" s="5"/>
      <c r="S34" s="5"/>
      <c r="T34" s="5"/>
    </row>
    <row r="35" spans="1:20" ht="28.9" customHeight="1">
      <c r="A35" s="106"/>
      <c r="B35" s="107"/>
      <c r="C35" s="47" t="s">
        <v>37</v>
      </c>
      <c r="D35" s="84">
        <f t="shared" si="9"/>
        <v>49</v>
      </c>
      <c r="E35" s="85">
        <f t="shared" si="10"/>
        <v>28008830</v>
      </c>
      <c r="F35" s="85">
        <v>43</v>
      </c>
      <c r="G35" s="85">
        <v>25820660</v>
      </c>
      <c r="H35" s="85">
        <v>6</v>
      </c>
      <c r="I35" s="86">
        <v>2188170</v>
      </c>
      <c r="J35" s="37">
        <f t="shared" si="11"/>
        <v>30</v>
      </c>
      <c r="K35" s="31">
        <f t="shared" si="11"/>
        <v>14287250</v>
      </c>
      <c r="L35" s="31">
        <v>26</v>
      </c>
      <c r="M35" s="31">
        <v>11447000</v>
      </c>
      <c r="N35" s="31">
        <v>4</v>
      </c>
      <c r="O35" s="38">
        <v>2840250</v>
      </c>
      <c r="P35" s="5"/>
      <c r="Q35" s="5"/>
      <c r="R35" s="5"/>
      <c r="S35" s="5"/>
      <c r="T35" s="5"/>
    </row>
    <row r="36" spans="1:20" ht="28.9" customHeight="1">
      <c r="A36" s="106"/>
      <c r="B36" s="107"/>
      <c r="C36" s="47" t="s">
        <v>38</v>
      </c>
      <c r="D36" s="84">
        <f t="shared" si="9"/>
        <v>36</v>
      </c>
      <c r="E36" s="85">
        <f t="shared" si="10"/>
        <v>26388935</v>
      </c>
      <c r="F36" s="85">
        <v>26</v>
      </c>
      <c r="G36" s="85">
        <v>23022555</v>
      </c>
      <c r="H36" s="85">
        <v>10</v>
      </c>
      <c r="I36" s="86">
        <v>3366380</v>
      </c>
      <c r="J36" s="37">
        <f t="shared" si="11"/>
        <v>31</v>
      </c>
      <c r="K36" s="31">
        <f t="shared" si="11"/>
        <v>15199205</v>
      </c>
      <c r="L36" s="31">
        <v>26</v>
      </c>
      <c r="M36" s="31">
        <v>12102165</v>
      </c>
      <c r="N36" s="31">
        <v>5</v>
      </c>
      <c r="O36" s="38">
        <v>3097040</v>
      </c>
      <c r="P36" s="5"/>
      <c r="Q36" s="5"/>
      <c r="R36" s="5"/>
      <c r="S36" s="5"/>
      <c r="T36" s="5"/>
    </row>
    <row r="37" spans="1:20" ht="28.9" customHeight="1">
      <c r="A37" s="106"/>
      <c r="B37" s="107"/>
      <c r="C37" s="47" t="s">
        <v>39</v>
      </c>
      <c r="D37" s="84">
        <f t="shared" si="9"/>
        <v>68</v>
      </c>
      <c r="E37" s="85">
        <f t="shared" si="10"/>
        <v>67928125</v>
      </c>
      <c r="F37" s="85">
        <v>54</v>
      </c>
      <c r="G37" s="85">
        <v>51201905</v>
      </c>
      <c r="H37" s="85">
        <v>14</v>
      </c>
      <c r="I37" s="86">
        <v>16726220</v>
      </c>
      <c r="J37" s="37">
        <f t="shared" si="11"/>
        <v>48</v>
      </c>
      <c r="K37" s="31">
        <f t="shared" si="11"/>
        <v>38571025</v>
      </c>
      <c r="L37" s="31">
        <v>38</v>
      </c>
      <c r="M37" s="31">
        <v>28619275</v>
      </c>
      <c r="N37" s="31">
        <v>10</v>
      </c>
      <c r="O37" s="38">
        <v>9951750</v>
      </c>
      <c r="P37" s="5"/>
      <c r="Q37" s="5"/>
      <c r="R37" s="5"/>
      <c r="S37" s="5"/>
      <c r="T37" s="5"/>
    </row>
    <row r="38" spans="1:20" ht="28.9" customHeight="1">
      <c r="A38" s="106"/>
      <c r="B38" s="107"/>
      <c r="C38" s="47" t="s">
        <v>40</v>
      </c>
      <c r="D38" s="84">
        <f t="shared" si="9"/>
        <v>61</v>
      </c>
      <c r="E38" s="85">
        <f t="shared" si="10"/>
        <v>65403915</v>
      </c>
      <c r="F38" s="85">
        <v>51</v>
      </c>
      <c r="G38" s="85">
        <v>54437790</v>
      </c>
      <c r="H38" s="85">
        <v>10</v>
      </c>
      <c r="I38" s="86">
        <v>10966125</v>
      </c>
      <c r="J38" s="37">
        <f t="shared" si="11"/>
        <v>49</v>
      </c>
      <c r="K38" s="31">
        <f t="shared" si="11"/>
        <v>45909790</v>
      </c>
      <c r="L38" s="31">
        <v>40</v>
      </c>
      <c r="M38" s="31">
        <v>35232080</v>
      </c>
      <c r="N38" s="31">
        <v>9</v>
      </c>
      <c r="O38" s="38">
        <v>10677710</v>
      </c>
      <c r="P38" s="5"/>
      <c r="Q38" s="5"/>
      <c r="R38" s="5"/>
      <c r="S38" s="5"/>
      <c r="T38" s="5"/>
    </row>
    <row r="39" spans="1:20" ht="28.9" customHeight="1">
      <c r="A39" s="106"/>
      <c r="B39" s="107"/>
      <c r="C39" s="47" t="s">
        <v>41</v>
      </c>
      <c r="D39" s="84">
        <f t="shared" si="9"/>
        <v>78</v>
      </c>
      <c r="E39" s="85">
        <f t="shared" si="10"/>
        <v>85237275</v>
      </c>
      <c r="F39" s="85">
        <v>71</v>
      </c>
      <c r="G39" s="85">
        <v>77816680</v>
      </c>
      <c r="H39" s="85">
        <v>7</v>
      </c>
      <c r="I39" s="86">
        <v>7420595</v>
      </c>
      <c r="J39" s="37">
        <f t="shared" si="11"/>
        <v>43</v>
      </c>
      <c r="K39" s="31">
        <f t="shared" si="11"/>
        <v>41611470</v>
      </c>
      <c r="L39" s="31">
        <v>38</v>
      </c>
      <c r="M39" s="31">
        <v>34704985</v>
      </c>
      <c r="N39" s="31">
        <v>5</v>
      </c>
      <c r="O39" s="38">
        <v>6906485</v>
      </c>
      <c r="P39" s="5"/>
      <c r="Q39" s="5"/>
      <c r="R39" s="5"/>
      <c r="S39" s="5"/>
      <c r="T39" s="5"/>
    </row>
    <row r="40" spans="1:20" ht="28.9" customHeight="1">
      <c r="A40" s="106"/>
      <c r="B40" s="107"/>
      <c r="C40" s="47" t="s">
        <v>42</v>
      </c>
      <c r="D40" s="84">
        <f t="shared" si="9"/>
        <v>74</v>
      </c>
      <c r="E40" s="85">
        <f t="shared" si="10"/>
        <v>81776300</v>
      </c>
      <c r="F40" s="85">
        <v>64</v>
      </c>
      <c r="G40" s="85">
        <v>65193910</v>
      </c>
      <c r="H40" s="85">
        <v>10</v>
      </c>
      <c r="I40" s="86">
        <v>16582390</v>
      </c>
      <c r="J40" s="37">
        <f t="shared" si="11"/>
        <v>43</v>
      </c>
      <c r="K40" s="31">
        <f t="shared" si="11"/>
        <v>38050900</v>
      </c>
      <c r="L40" s="31">
        <v>36</v>
      </c>
      <c r="M40" s="31">
        <v>27148275</v>
      </c>
      <c r="N40" s="31">
        <v>7</v>
      </c>
      <c r="O40" s="38">
        <v>10902625</v>
      </c>
      <c r="P40" s="5"/>
      <c r="Q40" s="5"/>
      <c r="R40" s="5"/>
      <c r="S40" s="5"/>
      <c r="T40" s="5"/>
    </row>
    <row r="41" spans="1:20" ht="28.9" customHeight="1">
      <c r="A41" s="106"/>
      <c r="B41" s="107"/>
      <c r="C41" s="47" t="s">
        <v>43</v>
      </c>
      <c r="D41" s="84">
        <f t="shared" si="9"/>
        <v>78</v>
      </c>
      <c r="E41" s="85">
        <f t="shared" si="10"/>
        <v>66715860</v>
      </c>
      <c r="F41" s="85">
        <v>58</v>
      </c>
      <c r="G41" s="85">
        <v>48589695</v>
      </c>
      <c r="H41" s="85">
        <v>20</v>
      </c>
      <c r="I41" s="86">
        <v>18126165</v>
      </c>
      <c r="J41" s="37">
        <f t="shared" si="11"/>
        <v>41</v>
      </c>
      <c r="K41" s="31">
        <f t="shared" si="11"/>
        <v>34975660</v>
      </c>
      <c r="L41" s="31">
        <v>35</v>
      </c>
      <c r="M41" s="31">
        <v>28007910</v>
      </c>
      <c r="N41" s="31">
        <v>6</v>
      </c>
      <c r="O41" s="38">
        <v>6967750</v>
      </c>
      <c r="P41" s="5"/>
      <c r="Q41" s="5"/>
      <c r="R41" s="5"/>
      <c r="S41" s="5"/>
      <c r="T41" s="5"/>
    </row>
    <row r="42" spans="1:20" ht="28.9" customHeight="1">
      <c r="A42" s="106"/>
      <c r="B42" s="107"/>
      <c r="C42" s="47" t="s">
        <v>44</v>
      </c>
      <c r="D42" s="84">
        <f t="shared" si="9"/>
        <v>42</v>
      </c>
      <c r="E42" s="85">
        <f t="shared" si="10"/>
        <v>28187370</v>
      </c>
      <c r="F42" s="85">
        <v>40</v>
      </c>
      <c r="G42" s="85">
        <v>25966370</v>
      </c>
      <c r="H42" s="85">
        <v>2</v>
      </c>
      <c r="I42" s="86">
        <v>2221000</v>
      </c>
      <c r="J42" s="37">
        <f t="shared" si="11"/>
        <v>23</v>
      </c>
      <c r="K42" s="31">
        <f t="shared" si="11"/>
        <v>18029565</v>
      </c>
      <c r="L42" s="31">
        <v>22</v>
      </c>
      <c r="M42" s="31">
        <v>16661565</v>
      </c>
      <c r="N42" s="31">
        <v>1</v>
      </c>
      <c r="O42" s="38">
        <v>1368000</v>
      </c>
      <c r="P42" s="5"/>
      <c r="Q42" s="5"/>
      <c r="R42" s="5"/>
      <c r="S42" s="5"/>
      <c r="T42" s="5"/>
    </row>
    <row r="43" spans="1:20" ht="21" customHeight="1">
      <c r="A43" s="101" t="s">
        <v>135</v>
      </c>
      <c r="B43" s="103" t="s">
        <v>100</v>
      </c>
      <c r="C43" s="45" t="s">
        <v>1</v>
      </c>
      <c r="D43" s="81">
        <f t="shared" ref="D43:I43" si="12">SUM(D44:D62)</f>
        <v>614</v>
      </c>
      <c r="E43" s="82">
        <f t="shared" si="12"/>
        <v>549372335</v>
      </c>
      <c r="F43" s="82">
        <f t="shared" si="12"/>
        <v>498</v>
      </c>
      <c r="G43" s="82">
        <f t="shared" si="12"/>
        <v>443762675</v>
      </c>
      <c r="H43" s="82">
        <f t="shared" si="12"/>
        <v>116</v>
      </c>
      <c r="I43" s="83">
        <f t="shared" si="12"/>
        <v>105609660</v>
      </c>
      <c r="J43" s="35">
        <f t="shared" ref="J43:O43" si="13">SUM(J44:J62)</f>
        <v>418</v>
      </c>
      <c r="K43" s="30">
        <f t="shared" si="13"/>
        <v>291343780</v>
      </c>
      <c r="L43" s="30">
        <f t="shared" si="13"/>
        <v>348</v>
      </c>
      <c r="M43" s="30">
        <f t="shared" si="13"/>
        <v>230710310</v>
      </c>
      <c r="N43" s="30">
        <f t="shared" si="13"/>
        <v>70</v>
      </c>
      <c r="O43" s="36">
        <f t="shared" si="13"/>
        <v>60633470</v>
      </c>
    </row>
    <row r="44" spans="1:20" ht="33">
      <c r="A44" s="108"/>
      <c r="B44" s="107"/>
      <c r="C44" s="49" t="s">
        <v>101</v>
      </c>
      <c r="D44" s="84">
        <f t="shared" ref="D44:D62" si="14">F44+H44</f>
        <v>22</v>
      </c>
      <c r="E44" s="85">
        <f t="shared" ref="E44:E62" si="15">G44+I44</f>
        <v>19259475</v>
      </c>
      <c r="F44" s="85">
        <v>20</v>
      </c>
      <c r="G44" s="85">
        <v>17892975</v>
      </c>
      <c r="H44" s="85">
        <v>2</v>
      </c>
      <c r="I44" s="86">
        <v>1366500</v>
      </c>
      <c r="J44" s="37">
        <f t="shared" ref="J44:K62" si="16">L44+N44</f>
        <v>18</v>
      </c>
      <c r="K44" s="31">
        <f t="shared" si="16"/>
        <v>15030345</v>
      </c>
      <c r="L44" s="31">
        <v>17</v>
      </c>
      <c r="M44" s="31">
        <v>14801345</v>
      </c>
      <c r="N44" s="31">
        <v>1</v>
      </c>
      <c r="O44" s="38">
        <v>229000</v>
      </c>
    </row>
    <row r="45" spans="1:20" ht="33">
      <c r="A45" s="108"/>
      <c r="B45" s="107"/>
      <c r="C45" s="49" t="s">
        <v>102</v>
      </c>
      <c r="D45" s="84">
        <f t="shared" si="14"/>
        <v>2</v>
      </c>
      <c r="E45" s="85">
        <f t="shared" si="15"/>
        <v>1136250</v>
      </c>
      <c r="F45" s="85">
        <v>2</v>
      </c>
      <c r="G45" s="85">
        <v>1136250</v>
      </c>
      <c r="H45" s="85">
        <v>0</v>
      </c>
      <c r="I45" s="86">
        <v>0</v>
      </c>
      <c r="J45" s="37">
        <f t="shared" si="16"/>
        <v>0</v>
      </c>
      <c r="K45" s="31">
        <f t="shared" si="16"/>
        <v>0</v>
      </c>
      <c r="L45" s="31">
        <v>0</v>
      </c>
      <c r="M45" s="31">
        <v>0</v>
      </c>
      <c r="N45" s="31">
        <v>0</v>
      </c>
      <c r="O45" s="38">
        <v>0</v>
      </c>
    </row>
    <row r="46" spans="1:20" ht="21" customHeight="1">
      <c r="A46" s="108"/>
      <c r="B46" s="107"/>
      <c r="C46" s="49" t="s">
        <v>57</v>
      </c>
      <c r="D46" s="84">
        <f t="shared" si="14"/>
        <v>147</v>
      </c>
      <c r="E46" s="85">
        <f t="shared" si="15"/>
        <v>140717745</v>
      </c>
      <c r="F46" s="85">
        <v>126</v>
      </c>
      <c r="G46" s="85">
        <v>119695250</v>
      </c>
      <c r="H46" s="85">
        <v>21</v>
      </c>
      <c r="I46" s="86">
        <v>21022495</v>
      </c>
      <c r="J46" s="37">
        <f t="shared" si="16"/>
        <v>98</v>
      </c>
      <c r="K46" s="31">
        <f t="shared" si="16"/>
        <v>73077675</v>
      </c>
      <c r="L46" s="31">
        <v>80</v>
      </c>
      <c r="M46" s="31">
        <v>50286340</v>
      </c>
      <c r="N46" s="31">
        <v>18</v>
      </c>
      <c r="O46" s="38">
        <v>22791335</v>
      </c>
    </row>
    <row r="47" spans="1:20" ht="33">
      <c r="A47" s="108"/>
      <c r="B47" s="107"/>
      <c r="C47" s="49" t="s">
        <v>103</v>
      </c>
      <c r="D47" s="84">
        <f t="shared" si="14"/>
        <v>3</v>
      </c>
      <c r="E47" s="85">
        <f t="shared" si="15"/>
        <v>869250</v>
      </c>
      <c r="F47" s="85">
        <v>3</v>
      </c>
      <c r="G47" s="85">
        <v>869250</v>
      </c>
      <c r="H47" s="85">
        <v>0</v>
      </c>
      <c r="I47" s="86">
        <v>0</v>
      </c>
      <c r="J47" s="37">
        <f t="shared" si="16"/>
        <v>1</v>
      </c>
      <c r="K47" s="31">
        <f t="shared" si="16"/>
        <v>151500</v>
      </c>
      <c r="L47" s="31">
        <v>1</v>
      </c>
      <c r="M47" s="31">
        <v>151500</v>
      </c>
      <c r="N47" s="31">
        <v>0</v>
      </c>
      <c r="O47" s="38">
        <v>0</v>
      </c>
    </row>
    <row r="48" spans="1:20" ht="33">
      <c r="A48" s="108"/>
      <c r="B48" s="107"/>
      <c r="C48" s="49" t="s">
        <v>78</v>
      </c>
      <c r="D48" s="84">
        <f t="shared" si="14"/>
        <v>6</v>
      </c>
      <c r="E48" s="85">
        <f t="shared" si="15"/>
        <v>8027845</v>
      </c>
      <c r="F48" s="85">
        <v>5</v>
      </c>
      <c r="G48" s="85">
        <v>6848485</v>
      </c>
      <c r="H48" s="85">
        <v>1</v>
      </c>
      <c r="I48" s="86">
        <v>1179360</v>
      </c>
      <c r="J48" s="37">
        <f t="shared" si="16"/>
        <v>3</v>
      </c>
      <c r="K48" s="31">
        <f t="shared" si="16"/>
        <v>1915000</v>
      </c>
      <c r="L48" s="31">
        <v>2</v>
      </c>
      <c r="M48" s="31">
        <v>349000</v>
      </c>
      <c r="N48" s="31">
        <v>1</v>
      </c>
      <c r="O48" s="38">
        <v>1566000</v>
      </c>
    </row>
    <row r="49" spans="1:65" ht="21" customHeight="1">
      <c r="A49" s="108"/>
      <c r="B49" s="107"/>
      <c r="C49" s="49" t="s">
        <v>105</v>
      </c>
      <c r="D49" s="84">
        <f t="shared" si="14"/>
        <v>131</v>
      </c>
      <c r="E49" s="85">
        <f t="shared" si="15"/>
        <v>110815720</v>
      </c>
      <c r="F49" s="85">
        <v>124</v>
      </c>
      <c r="G49" s="85">
        <v>103028485</v>
      </c>
      <c r="H49" s="85">
        <v>7</v>
      </c>
      <c r="I49" s="86">
        <v>7787235</v>
      </c>
      <c r="J49" s="37">
        <f t="shared" si="16"/>
        <v>75</v>
      </c>
      <c r="K49" s="31">
        <f t="shared" si="16"/>
        <v>47148290</v>
      </c>
      <c r="L49" s="31">
        <v>73</v>
      </c>
      <c r="M49" s="31">
        <v>44892290</v>
      </c>
      <c r="N49" s="31">
        <v>2</v>
      </c>
      <c r="O49" s="38">
        <v>2256000</v>
      </c>
    </row>
    <row r="50" spans="1:65" ht="21" customHeight="1">
      <c r="A50" s="108"/>
      <c r="B50" s="107"/>
      <c r="C50" s="49" t="s">
        <v>106</v>
      </c>
      <c r="D50" s="84">
        <f t="shared" si="14"/>
        <v>82</v>
      </c>
      <c r="E50" s="85">
        <f t="shared" si="15"/>
        <v>67757140</v>
      </c>
      <c r="F50" s="85">
        <v>58</v>
      </c>
      <c r="G50" s="85">
        <v>52240785</v>
      </c>
      <c r="H50" s="85">
        <v>24</v>
      </c>
      <c r="I50" s="86">
        <v>15516355</v>
      </c>
      <c r="J50" s="37">
        <f t="shared" si="16"/>
        <v>64</v>
      </c>
      <c r="K50" s="31">
        <f t="shared" si="16"/>
        <v>44317135</v>
      </c>
      <c r="L50" s="31">
        <v>52</v>
      </c>
      <c r="M50" s="31">
        <v>36306470</v>
      </c>
      <c r="N50" s="31">
        <v>12</v>
      </c>
      <c r="O50" s="38">
        <v>8010665</v>
      </c>
    </row>
    <row r="51" spans="1:65" ht="21" customHeight="1">
      <c r="A51" s="108"/>
      <c r="B51" s="107"/>
      <c r="C51" s="49" t="s">
        <v>107</v>
      </c>
      <c r="D51" s="84">
        <f t="shared" si="14"/>
        <v>44</v>
      </c>
      <c r="E51" s="85">
        <f t="shared" si="15"/>
        <v>47141385</v>
      </c>
      <c r="F51" s="85">
        <v>40</v>
      </c>
      <c r="G51" s="85">
        <v>42157915</v>
      </c>
      <c r="H51" s="85">
        <v>4</v>
      </c>
      <c r="I51" s="86">
        <v>4983470</v>
      </c>
      <c r="J51" s="37">
        <f t="shared" si="16"/>
        <v>36</v>
      </c>
      <c r="K51" s="31">
        <f t="shared" si="16"/>
        <v>23431845</v>
      </c>
      <c r="L51" s="31">
        <v>33</v>
      </c>
      <c r="M51" s="31">
        <v>22911720</v>
      </c>
      <c r="N51" s="31">
        <v>3</v>
      </c>
      <c r="O51" s="38">
        <v>520125</v>
      </c>
    </row>
    <row r="52" spans="1:65" ht="21" customHeight="1">
      <c r="A52" s="108"/>
      <c r="B52" s="107"/>
      <c r="C52" s="49" t="s">
        <v>108</v>
      </c>
      <c r="D52" s="84">
        <f t="shared" si="14"/>
        <v>27</v>
      </c>
      <c r="E52" s="85">
        <f t="shared" si="15"/>
        <v>23919245</v>
      </c>
      <c r="F52" s="85">
        <v>17</v>
      </c>
      <c r="G52" s="85">
        <v>12691135</v>
      </c>
      <c r="H52" s="85">
        <v>10</v>
      </c>
      <c r="I52" s="86">
        <v>11228110</v>
      </c>
      <c r="J52" s="37">
        <f t="shared" si="16"/>
        <v>25</v>
      </c>
      <c r="K52" s="31">
        <f t="shared" si="16"/>
        <v>11204255</v>
      </c>
      <c r="L52" s="31">
        <v>18</v>
      </c>
      <c r="M52" s="31">
        <v>6655230</v>
      </c>
      <c r="N52" s="31">
        <v>7</v>
      </c>
      <c r="O52" s="38">
        <v>4549025</v>
      </c>
    </row>
    <row r="53" spans="1:65" ht="33">
      <c r="A53" s="108"/>
      <c r="B53" s="107"/>
      <c r="C53" s="49" t="s">
        <v>130</v>
      </c>
      <c r="D53" s="84">
        <f t="shared" si="14"/>
        <v>4</v>
      </c>
      <c r="E53" s="85">
        <f t="shared" si="15"/>
        <v>4278250</v>
      </c>
      <c r="F53" s="85">
        <v>3</v>
      </c>
      <c r="G53" s="85">
        <v>4025250</v>
      </c>
      <c r="H53" s="85">
        <v>1</v>
      </c>
      <c r="I53" s="86">
        <v>253000</v>
      </c>
      <c r="J53" s="37">
        <f t="shared" si="16"/>
        <v>4</v>
      </c>
      <c r="K53" s="31">
        <f t="shared" si="16"/>
        <v>2520500</v>
      </c>
      <c r="L53" s="31">
        <v>4</v>
      </c>
      <c r="M53" s="31">
        <v>2520500</v>
      </c>
      <c r="N53" s="31">
        <v>0</v>
      </c>
      <c r="O53" s="38">
        <v>0</v>
      </c>
    </row>
    <row r="54" spans="1:65" ht="21" customHeight="1">
      <c r="A54" s="108"/>
      <c r="B54" s="107"/>
      <c r="C54" s="49" t="s">
        <v>109</v>
      </c>
      <c r="D54" s="84">
        <f t="shared" si="14"/>
        <v>4</v>
      </c>
      <c r="E54" s="85">
        <f t="shared" si="15"/>
        <v>5499470</v>
      </c>
      <c r="F54" s="85">
        <v>0</v>
      </c>
      <c r="G54" s="85">
        <v>0</v>
      </c>
      <c r="H54" s="85">
        <v>4</v>
      </c>
      <c r="I54" s="86">
        <v>5499470</v>
      </c>
      <c r="J54" s="37">
        <f t="shared" si="16"/>
        <v>7</v>
      </c>
      <c r="K54" s="31">
        <f t="shared" si="16"/>
        <v>7064210</v>
      </c>
      <c r="L54" s="31">
        <v>2</v>
      </c>
      <c r="M54" s="31">
        <v>2181000</v>
      </c>
      <c r="N54" s="31">
        <v>5</v>
      </c>
      <c r="O54" s="38">
        <v>4883210</v>
      </c>
    </row>
    <row r="55" spans="1:65" ht="21" customHeight="1">
      <c r="A55" s="108"/>
      <c r="B55" s="107"/>
      <c r="C55" s="49" t="s">
        <v>59</v>
      </c>
      <c r="D55" s="84">
        <f t="shared" si="14"/>
        <v>7</v>
      </c>
      <c r="E55" s="85">
        <f t="shared" si="15"/>
        <v>3892580</v>
      </c>
      <c r="F55" s="85">
        <v>4</v>
      </c>
      <c r="G55" s="85">
        <v>2483745</v>
      </c>
      <c r="H55" s="85">
        <v>3</v>
      </c>
      <c r="I55" s="86">
        <v>1408835</v>
      </c>
      <c r="J55" s="37">
        <f t="shared" si="16"/>
        <v>7</v>
      </c>
      <c r="K55" s="31">
        <f t="shared" si="16"/>
        <v>6046265</v>
      </c>
      <c r="L55" s="31">
        <v>5</v>
      </c>
      <c r="M55" s="31">
        <v>4251265</v>
      </c>
      <c r="N55" s="31">
        <v>2</v>
      </c>
      <c r="O55" s="38">
        <v>1795000</v>
      </c>
    </row>
    <row r="56" spans="1:65" ht="33">
      <c r="A56" s="108"/>
      <c r="B56" s="107"/>
      <c r="C56" s="49" t="s">
        <v>110</v>
      </c>
      <c r="D56" s="84">
        <f t="shared" si="14"/>
        <v>15</v>
      </c>
      <c r="E56" s="85">
        <f t="shared" si="15"/>
        <v>19288850</v>
      </c>
      <c r="F56" s="85">
        <v>10</v>
      </c>
      <c r="G56" s="85">
        <v>14655350</v>
      </c>
      <c r="H56" s="85">
        <v>5</v>
      </c>
      <c r="I56" s="86">
        <v>4633500</v>
      </c>
      <c r="J56" s="37">
        <f t="shared" si="16"/>
        <v>10</v>
      </c>
      <c r="K56" s="31">
        <f t="shared" si="16"/>
        <v>8643400</v>
      </c>
      <c r="L56" s="31">
        <v>8</v>
      </c>
      <c r="M56" s="31">
        <v>6171775</v>
      </c>
      <c r="N56" s="31">
        <v>2</v>
      </c>
      <c r="O56" s="38">
        <v>2471625</v>
      </c>
    </row>
    <row r="57" spans="1:65" ht="21" customHeight="1">
      <c r="A57" s="108"/>
      <c r="B57" s="107"/>
      <c r="C57" s="49" t="s">
        <v>60</v>
      </c>
      <c r="D57" s="84">
        <f t="shared" si="14"/>
        <v>59</v>
      </c>
      <c r="E57" s="85">
        <f t="shared" si="15"/>
        <v>47603450</v>
      </c>
      <c r="F57" s="85">
        <v>52</v>
      </c>
      <c r="G57" s="85">
        <v>41002590</v>
      </c>
      <c r="H57" s="85">
        <v>7</v>
      </c>
      <c r="I57" s="86">
        <v>6600860</v>
      </c>
      <c r="J57" s="37">
        <f t="shared" si="16"/>
        <v>27</v>
      </c>
      <c r="K57" s="31">
        <f t="shared" si="16"/>
        <v>20382655</v>
      </c>
      <c r="L57" s="31">
        <v>23</v>
      </c>
      <c r="M57" s="31">
        <v>15951280</v>
      </c>
      <c r="N57" s="31">
        <v>4</v>
      </c>
      <c r="O57" s="38">
        <v>4431375</v>
      </c>
    </row>
    <row r="58" spans="1:65" ht="49.5">
      <c r="A58" s="108"/>
      <c r="B58" s="107"/>
      <c r="C58" s="49" t="s">
        <v>81</v>
      </c>
      <c r="D58" s="84">
        <f t="shared" si="14"/>
        <v>12</v>
      </c>
      <c r="E58" s="85">
        <f t="shared" si="15"/>
        <v>9410290</v>
      </c>
      <c r="F58" s="85">
        <v>9</v>
      </c>
      <c r="G58" s="85">
        <v>7999570</v>
      </c>
      <c r="H58" s="85">
        <v>3</v>
      </c>
      <c r="I58" s="86">
        <v>1410720</v>
      </c>
      <c r="J58" s="37">
        <f t="shared" si="16"/>
        <v>10</v>
      </c>
      <c r="K58" s="31">
        <f t="shared" si="16"/>
        <v>7771515</v>
      </c>
      <c r="L58" s="31">
        <v>10</v>
      </c>
      <c r="M58" s="31">
        <v>7771515</v>
      </c>
      <c r="N58" s="31">
        <v>0</v>
      </c>
      <c r="O58" s="38">
        <v>0</v>
      </c>
    </row>
    <row r="59" spans="1:65" ht="21" customHeight="1">
      <c r="A59" s="108"/>
      <c r="B59" s="107"/>
      <c r="C59" s="49" t="s">
        <v>111</v>
      </c>
      <c r="D59" s="84">
        <f t="shared" si="14"/>
        <v>8</v>
      </c>
      <c r="E59" s="85">
        <f t="shared" si="15"/>
        <v>8728275</v>
      </c>
      <c r="F59" s="85">
        <v>4</v>
      </c>
      <c r="G59" s="85">
        <v>3992610</v>
      </c>
      <c r="H59" s="85">
        <v>4</v>
      </c>
      <c r="I59" s="86">
        <v>4735665</v>
      </c>
      <c r="J59" s="37">
        <f t="shared" si="16"/>
        <v>1</v>
      </c>
      <c r="K59" s="31">
        <f t="shared" si="16"/>
        <v>253000</v>
      </c>
      <c r="L59" s="31">
        <v>0</v>
      </c>
      <c r="M59" s="31">
        <v>0</v>
      </c>
      <c r="N59" s="31">
        <v>1</v>
      </c>
      <c r="O59" s="38">
        <v>253000</v>
      </c>
    </row>
    <row r="60" spans="1:65" ht="33">
      <c r="A60" s="108"/>
      <c r="B60" s="107"/>
      <c r="C60" s="49" t="s">
        <v>112</v>
      </c>
      <c r="D60" s="84">
        <f t="shared" si="14"/>
        <v>20</v>
      </c>
      <c r="E60" s="85">
        <f t="shared" si="15"/>
        <v>20748340</v>
      </c>
      <c r="F60" s="85">
        <v>7</v>
      </c>
      <c r="G60" s="85">
        <v>6534170</v>
      </c>
      <c r="H60" s="85">
        <v>13</v>
      </c>
      <c r="I60" s="86">
        <v>14214170</v>
      </c>
      <c r="J60" s="37">
        <f t="shared" si="16"/>
        <v>15</v>
      </c>
      <c r="K60" s="31">
        <f t="shared" si="16"/>
        <v>7600775</v>
      </c>
      <c r="L60" s="31">
        <v>7</v>
      </c>
      <c r="M60" s="31">
        <v>3845275</v>
      </c>
      <c r="N60" s="31">
        <v>8</v>
      </c>
      <c r="O60" s="38">
        <v>3755500</v>
      </c>
    </row>
    <row r="61" spans="1:65" ht="33">
      <c r="A61" s="108"/>
      <c r="B61" s="107"/>
      <c r="C61" s="49" t="s">
        <v>83</v>
      </c>
      <c r="D61" s="84">
        <f t="shared" si="14"/>
        <v>4</v>
      </c>
      <c r="E61" s="85">
        <f t="shared" si="15"/>
        <v>747125</v>
      </c>
      <c r="F61" s="85">
        <v>3</v>
      </c>
      <c r="G61" s="85">
        <v>574625</v>
      </c>
      <c r="H61" s="85">
        <v>1</v>
      </c>
      <c r="I61" s="86">
        <v>172500</v>
      </c>
      <c r="J61" s="37">
        <f t="shared" si="16"/>
        <v>1</v>
      </c>
      <c r="K61" s="31">
        <f t="shared" si="16"/>
        <v>1136250</v>
      </c>
      <c r="L61" s="31">
        <v>1</v>
      </c>
      <c r="M61" s="31">
        <v>1136250</v>
      </c>
      <c r="N61" s="31">
        <v>0</v>
      </c>
      <c r="O61" s="38">
        <v>0</v>
      </c>
    </row>
    <row r="62" spans="1:65" ht="21" customHeight="1" thickBot="1">
      <c r="A62" s="109"/>
      <c r="B62" s="110"/>
      <c r="C62" s="50" t="s">
        <v>62</v>
      </c>
      <c r="D62" s="87">
        <f t="shared" si="14"/>
        <v>17</v>
      </c>
      <c r="E62" s="88">
        <f t="shared" si="15"/>
        <v>9531650</v>
      </c>
      <c r="F62" s="88">
        <v>11</v>
      </c>
      <c r="G62" s="88">
        <v>5934235</v>
      </c>
      <c r="H62" s="88">
        <v>6</v>
      </c>
      <c r="I62" s="89">
        <v>3597415</v>
      </c>
      <c r="J62" s="39">
        <f t="shared" si="16"/>
        <v>16</v>
      </c>
      <c r="K62" s="32">
        <f t="shared" si="16"/>
        <v>13649165</v>
      </c>
      <c r="L62" s="32">
        <v>12</v>
      </c>
      <c r="M62" s="32">
        <v>10527555</v>
      </c>
      <c r="N62" s="32">
        <v>4</v>
      </c>
      <c r="O62" s="40">
        <v>3121610</v>
      </c>
    </row>
    <row r="63" spans="1:65" s="67" customFormat="1" ht="106.5" customHeight="1">
      <c r="A63" s="66"/>
      <c r="B63" s="10"/>
      <c r="C63" s="10"/>
      <c r="D63" s="99" t="s">
        <v>142</v>
      </c>
      <c r="E63" s="100"/>
      <c r="F63" s="100"/>
      <c r="G63" s="100"/>
      <c r="H63" s="100"/>
      <c r="I63" s="100"/>
      <c r="J63" s="99" t="s">
        <v>143</v>
      </c>
      <c r="K63" s="100"/>
      <c r="L63" s="100"/>
      <c r="M63" s="100"/>
      <c r="N63" s="100"/>
      <c r="O63" s="100"/>
      <c r="R63" s="10"/>
      <c r="Y63" s="10"/>
      <c r="AF63" s="10"/>
      <c r="AN63" s="10"/>
      <c r="BM63" s="10"/>
    </row>
  </sheetData>
  <mergeCells count="20">
    <mergeCell ref="F4:G4"/>
    <mergeCell ref="H4:I4"/>
    <mergeCell ref="D63:I63"/>
    <mergeCell ref="D1:I1"/>
    <mergeCell ref="J1:O1"/>
    <mergeCell ref="J63:O63"/>
    <mergeCell ref="A6:A29"/>
    <mergeCell ref="B6:B29"/>
    <mergeCell ref="A30:A42"/>
    <mergeCell ref="B30:B42"/>
    <mergeCell ref="A43:A62"/>
    <mergeCell ref="B43:B62"/>
    <mergeCell ref="A3:A5"/>
    <mergeCell ref="B3:C5"/>
    <mergeCell ref="J3:O3"/>
    <mergeCell ref="J4:K4"/>
    <mergeCell ref="L4:M4"/>
    <mergeCell ref="N4:O4"/>
    <mergeCell ref="D3:I3"/>
    <mergeCell ref="D4:E4"/>
  </mergeCells>
  <phoneticPr fontId="15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verticalDpi="1200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2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4" customWidth="1"/>
    <col min="2" max="2" width="4.625" style="4" customWidth="1"/>
    <col min="3" max="3" width="14.75" style="6" customWidth="1"/>
    <col min="4" max="4" width="7.75" style="2" customWidth="1"/>
    <col min="5" max="5" width="13.75" style="2" customWidth="1"/>
    <col min="6" max="6" width="7.75" style="2" customWidth="1"/>
    <col min="7" max="7" width="13.75" style="2" customWidth="1"/>
    <col min="8" max="8" width="7.75" style="2" customWidth="1"/>
    <col min="9" max="9" width="13.75" style="2" customWidth="1"/>
    <col min="10" max="10" width="14.625" style="2" customWidth="1"/>
    <col min="11" max="11" width="9.625" style="2" customWidth="1"/>
    <col min="12" max="12" width="14.625" style="2" customWidth="1"/>
    <col min="13" max="13" width="9.625" style="2" customWidth="1"/>
    <col min="14" max="14" width="14.625" style="2" customWidth="1"/>
    <col min="15" max="16384" width="9" style="2"/>
  </cols>
  <sheetData>
    <row r="1" spans="1:14" s="73" customFormat="1" ht="42" customHeight="1">
      <c r="A1" s="133" t="s">
        <v>144</v>
      </c>
      <c r="B1" s="134"/>
      <c r="C1" s="134"/>
      <c r="D1" s="134"/>
      <c r="E1" s="134"/>
      <c r="F1" s="134"/>
      <c r="G1" s="134"/>
      <c r="H1" s="134"/>
      <c r="I1" s="134"/>
    </row>
    <row r="2" spans="1:14" ht="18" customHeight="1" thickBot="1"/>
    <row r="3" spans="1:14" s="6" customFormat="1" ht="23.45" customHeight="1">
      <c r="A3" s="111" t="s">
        <v>113</v>
      </c>
      <c r="B3" s="113" t="s">
        <v>56</v>
      </c>
      <c r="C3" s="114"/>
      <c r="D3" s="119" t="s">
        <v>136</v>
      </c>
      <c r="E3" s="120"/>
      <c r="F3" s="120"/>
      <c r="G3" s="120"/>
      <c r="H3" s="120"/>
      <c r="I3" s="121"/>
    </row>
    <row r="4" spans="1:14" s="3" customFormat="1" ht="23.45" customHeight="1">
      <c r="A4" s="112"/>
      <c r="B4" s="115"/>
      <c r="C4" s="116"/>
      <c r="D4" s="122" t="s">
        <v>92</v>
      </c>
      <c r="E4" s="123"/>
      <c r="F4" s="124" t="s">
        <v>93</v>
      </c>
      <c r="G4" s="123"/>
      <c r="H4" s="124" t="s">
        <v>94</v>
      </c>
      <c r="I4" s="125"/>
    </row>
    <row r="5" spans="1:14" ht="23.45" customHeight="1">
      <c r="A5" s="112"/>
      <c r="B5" s="117"/>
      <c r="C5" s="118"/>
      <c r="D5" s="90" t="s">
        <v>26</v>
      </c>
      <c r="E5" s="91" t="s">
        <v>27</v>
      </c>
      <c r="F5" s="91" t="s">
        <v>26</v>
      </c>
      <c r="G5" s="91" t="s">
        <v>27</v>
      </c>
      <c r="H5" s="91" t="s">
        <v>26</v>
      </c>
      <c r="I5" s="92" t="s">
        <v>27</v>
      </c>
    </row>
    <row r="6" spans="1:14" ht="24.6" customHeight="1">
      <c r="A6" s="101" t="s">
        <v>134</v>
      </c>
      <c r="B6" s="103" t="s">
        <v>45</v>
      </c>
      <c r="C6" s="45" t="s">
        <v>1</v>
      </c>
      <c r="D6" s="35">
        <f t="shared" ref="D6:I6" si="0">SUM(D7:D28)</f>
        <v>111</v>
      </c>
      <c r="E6" s="30">
        <f t="shared" si="0"/>
        <v>126845199</v>
      </c>
      <c r="F6" s="30">
        <f t="shared" si="0"/>
        <v>91</v>
      </c>
      <c r="G6" s="30">
        <f t="shared" si="0"/>
        <v>103849489</v>
      </c>
      <c r="H6" s="30">
        <f t="shared" si="0"/>
        <v>20</v>
      </c>
      <c r="I6" s="36">
        <f t="shared" si="0"/>
        <v>22995710</v>
      </c>
      <c r="J6" s="5"/>
      <c r="K6" s="5"/>
      <c r="L6" s="5"/>
      <c r="M6" s="5"/>
      <c r="N6" s="5"/>
    </row>
    <row r="7" spans="1:14" ht="24.6" customHeight="1">
      <c r="A7" s="101"/>
      <c r="B7" s="104"/>
      <c r="C7" s="45" t="s">
        <v>49</v>
      </c>
      <c r="D7" s="35">
        <f t="shared" ref="D7:E28" si="1">F7+H7</f>
        <v>13</v>
      </c>
      <c r="E7" s="30">
        <f t="shared" si="1"/>
        <v>14749765</v>
      </c>
      <c r="F7" s="30">
        <v>12</v>
      </c>
      <c r="G7" s="30">
        <v>13669765</v>
      </c>
      <c r="H7" s="30">
        <v>1</v>
      </c>
      <c r="I7" s="36">
        <v>1080000</v>
      </c>
      <c r="J7" s="5"/>
      <c r="K7" s="5"/>
      <c r="L7" s="5"/>
      <c r="M7" s="5"/>
      <c r="N7" s="5"/>
    </row>
    <row r="8" spans="1:14" ht="24.6" customHeight="1">
      <c r="A8" s="101"/>
      <c r="B8" s="104"/>
      <c r="C8" s="45" t="s">
        <v>50</v>
      </c>
      <c r="D8" s="35">
        <f t="shared" si="1"/>
        <v>14</v>
      </c>
      <c r="E8" s="30">
        <f t="shared" si="1"/>
        <v>12411335</v>
      </c>
      <c r="F8" s="30">
        <v>12</v>
      </c>
      <c r="G8" s="30">
        <v>9390335</v>
      </c>
      <c r="H8" s="30">
        <v>2</v>
      </c>
      <c r="I8" s="36">
        <v>3021000</v>
      </c>
      <c r="J8" s="5"/>
      <c r="K8" s="5"/>
      <c r="L8" s="5"/>
      <c r="M8" s="5"/>
      <c r="N8" s="5"/>
    </row>
    <row r="9" spans="1:14" ht="24.6" customHeight="1">
      <c r="A9" s="101"/>
      <c r="B9" s="104"/>
      <c r="C9" s="45" t="s">
        <v>97</v>
      </c>
      <c r="D9" s="35">
        <f t="shared" si="1"/>
        <v>11</v>
      </c>
      <c r="E9" s="30">
        <f t="shared" si="1"/>
        <v>14720350</v>
      </c>
      <c r="F9" s="30">
        <v>10</v>
      </c>
      <c r="G9" s="30">
        <v>13640350</v>
      </c>
      <c r="H9" s="30">
        <v>1</v>
      </c>
      <c r="I9" s="36">
        <v>1080000</v>
      </c>
      <c r="J9" s="5"/>
      <c r="K9" s="5"/>
      <c r="L9" s="5"/>
      <c r="M9" s="5"/>
      <c r="N9" s="5"/>
    </row>
    <row r="10" spans="1:14" ht="24.6" customHeight="1">
      <c r="A10" s="101"/>
      <c r="B10" s="104"/>
      <c r="C10" s="45" t="s">
        <v>51</v>
      </c>
      <c r="D10" s="35">
        <f t="shared" si="1"/>
        <v>7</v>
      </c>
      <c r="E10" s="30">
        <f t="shared" si="1"/>
        <v>8038072</v>
      </c>
      <c r="F10" s="30">
        <v>6</v>
      </c>
      <c r="G10" s="30">
        <v>6796072</v>
      </c>
      <c r="H10" s="30">
        <v>1</v>
      </c>
      <c r="I10" s="36">
        <v>1242000</v>
      </c>
      <c r="J10" s="5"/>
      <c r="K10" s="5"/>
      <c r="L10" s="5"/>
      <c r="M10" s="5"/>
      <c r="N10" s="5"/>
    </row>
    <row r="11" spans="1:14" ht="24.6" customHeight="1">
      <c r="A11" s="101"/>
      <c r="B11" s="104"/>
      <c r="C11" s="45" t="s">
        <v>52</v>
      </c>
      <c r="D11" s="35">
        <f t="shared" si="1"/>
        <v>8</v>
      </c>
      <c r="E11" s="30">
        <f t="shared" si="1"/>
        <v>6532918</v>
      </c>
      <c r="F11" s="30">
        <v>7</v>
      </c>
      <c r="G11" s="30">
        <v>5169418</v>
      </c>
      <c r="H11" s="30">
        <v>1</v>
      </c>
      <c r="I11" s="36">
        <v>1363500</v>
      </c>
      <c r="J11" s="5"/>
      <c r="K11" s="5"/>
      <c r="L11" s="5"/>
      <c r="M11" s="5"/>
      <c r="N11" s="5"/>
    </row>
    <row r="12" spans="1:14" ht="24.6" customHeight="1">
      <c r="A12" s="101"/>
      <c r="B12" s="104"/>
      <c r="C12" s="45" t="s">
        <v>53</v>
      </c>
      <c r="D12" s="35">
        <f t="shared" si="1"/>
        <v>19</v>
      </c>
      <c r="E12" s="30">
        <f t="shared" si="1"/>
        <v>21722930</v>
      </c>
      <c r="F12" s="30">
        <v>15</v>
      </c>
      <c r="G12" s="30">
        <v>17753110</v>
      </c>
      <c r="H12" s="30">
        <v>4</v>
      </c>
      <c r="I12" s="36">
        <v>3969820</v>
      </c>
      <c r="J12" s="5"/>
      <c r="K12" s="5"/>
      <c r="L12" s="5"/>
      <c r="M12" s="5"/>
      <c r="N12" s="5"/>
    </row>
    <row r="13" spans="1:14" ht="24.6" customHeight="1">
      <c r="A13" s="102"/>
      <c r="B13" s="105"/>
      <c r="C13" s="46" t="s">
        <v>3</v>
      </c>
      <c r="D13" s="37">
        <f t="shared" si="1"/>
        <v>3</v>
      </c>
      <c r="E13" s="31">
        <f t="shared" si="1"/>
        <v>3990860</v>
      </c>
      <c r="F13" s="31">
        <v>3</v>
      </c>
      <c r="G13" s="31">
        <v>3990860</v>
      </c>
      <c r="H13" s="31">
        <v>0</v>
      </c>
      <c r="I13" s="38">
        <v>0</v>
      </c>
      <c r="J13" s="5"/>
      <c r="K13" s="5"/>
      <c r="L13" s="5"/>
      <c r="M13" s="5"/>
      <c r="N13" s="5"/>
    </row>
    <row r="14" spans="1:14" ht="24.6" customHeight="1">
      <c r="A14" s="102"/>
      <c r="B14" s="105"/>
      <c r="C14" s="46" t="s">
        <v>5</v>
      </c>
      <c r="D14" s="37">
        <f t="shared" si="1"/>
        <v>7</v>
      </c>
      <c r="E14" s="31">
        <f t="shared" si="1"/>
        <v>11194515</v>
      </c>
      <c r="F14" s="31">
        <v>5</v>
      </c>
      <c r="G14" s="31">
        <v>8163000</v>
      </c>
      <c r="H14" s="31">
        <v>2</v>
      </c>
      <c r="I14" s="38">
        <v>3031515</v>
      </c>
      <c r="J14" s="5"/>
      <c r="K14" s="5"/>
      <c r="L14" s="5"/>
      <c r="M14" s="5"/>
      <c r="N14" s="5"/>
    </row>
    <row r="15" spans="1:14" ht="24.6" customHeight="1">
      <c r="A15" s="102"/>
      <c r="B15" s="105"/>
      <c r="C15" s="46" t="s">
        <v>6</v>
      </c>
      <c r="D15" s="37">
        <f t="shared" si="1"/>
        <v>1</v>
      </c>
      <c r="E15" s="31">
        <f t="shared" si="1"/>
        <v>1719000</v>
      </c>
      <c r="F15" s="31">
        <v>1</v>
      </c>
      <c r="G15" s="31">
        <v>1719000</v>
      </c>
      <c r="H15" s="31">
        <v>0</v>
      </c>
      <c r="I15" s="38">
        <v>0</v>
      </c>
      <c r="J15" s="5"/>
      <c r="K15" s="5"/>
      <c r="L15" s="5"/>
      <c r="M15" s="5"/>
      <c r="N15" s="5"/>
    </row>
    <row r="16" spans="1:14" ht="24.6" customHeight="1">
      <c r="A16" s="102"/>
      <c r="B16" s="105"/>
      <c r="C16" s="46" t="s">
        <v>8</v>
      </c>
      <c r="D16" s="37">
        <f t="shared" si="1"/>
        <v>4</v>
      </c>
      <c r="E16" s="31">
        <f t="shared" si="1"/>
        <v>5901750</v>
      </c>
      <c r="F16" s="31">
        <v>2</v>
      </c>
      <c r="G16" s="31">
        <v>3141000</v>
      </c>
      <c r="H16" s="31">
        <v>2</v>
      </c>
      <c r="I16" s="38">
        <v>2760750</v>
      </c>
      <c r="J16" s="5"/>
      <c r="K16" s="5"/>
      <c r="L16" s="5"/>
      <c r="M16" s="5"/>
      <c r="N16" s="5"/>
    </row>
    <row r="17" spans="1:14" ht="24.6" customHeight="1">
      <c r="A17" s="102"/>
      <c r="B17" s="105"/>
      <c r="C17" s="46" t="s">
        <v>9</v>
      </c>
      <c r="D17" s="37">
        <f t="shared" si="1"/>
        <v>3</v>
      </c>
      <c r="E17" s="31">
        <f t="shared" si="1"/>
        <v>3377250</v>
      </c>
      <c r="F17" s="31">
        <v>1</v>
      </c>
      <c r="G17" s="31">
        <v>1532250</v>
      </c>
      <c r="H17" s="31">
        <v>2</v>
      </c>
      <c r="I17" s="38">
        <v>1845000</v>
      </c>
      <c r="J17" s="5"/>
      <c r="K17" s="5"/>
      <c r="L17" s="5"/>
      <c r="M17" s="5"/>
      <c r="N17" s="5"/>
    </row>
    <row r="18" spans="1:14" ht="24.6" customHeight="1">
      <c r="A18" s="102"/>
      <c r="B18" s="105"/>
      <c r="C18" s="46" t="s">
        <v>10</v>
      </c>
      <c r="D18" s="37">
        <f t="shared" si="1"/>
        <v>2</v>
      </c>
      <c r="E18" s="31">
        <f t="shared" si="1"/>
        <v>3021000</v>
      </c>
      <c r="F18" s="31">
        <v>2</v>
      </c>
      <c r="G18" s="31">
        <v>3021000</v>
      </c>
      <c r="H18" s="31">
        <v>0</v>
      </c>
      <c r="I18" s="38">
        <v>0</v>
      </c>
      <c r="J18" s="5"/>
      <c r="K18" s="5"/>
      <c r="L18" s="5"/>
      <c r="M18" s="5"/>
      <c r="N18" s="5"/>
    </row>
    <row r="19" spans="1:14" ht="24.6" customHeight="1">
      <c r="A19" s="102"/>
      <c r="B19" s="105"/>
      <c r="C19" s="46" t="s">
        <v>11</v>
      </c>
      <c r="D19" s="37">
        <f t="shared" si="1"/>
        <v>1</v>
      </c>
      <c r="E19" s="31">
        <f t="shared" si="1"/>
        <v>960000</v>
      </c>
      <c r="F19" s="31">
        <v>0</v>
      </c>
      <c r="G19" s="31">
        <v>0</v>
      </c>
      <c r="H19" s="31">
        <v>1</v>
      </c>
      <c r="I19" s="38">
        <v>960000</v>
      </c>
      <c r="J19" s="5"/>
      <c r="K19" s="5"/>
      <c r="L19" s="5"/>
      <c r="M19" s="5"/>
      <c r="N19" s="5"/>
    </row>
    <row r="20" spans="1:14" ht="24.6" customHeight="1">
      <c r="A20" s="102"/>
      <c r="B20" s="105"/>
      <c r="C20" s="46" t="s">
        <v>14</v>
      </c>
      <c r="D20" s="37">
        <f t="shared" si="1"/>
        <v>3</v>
      </c>
      <c r="E20" s="31">
        <f t="shared" si="1"/>
        <v>3142260</v>
      </c>
      <c r="F20" s="31">
        <v>2</v>
      </c>
      <c r="G20" s="31">
        <v>1846260</v>
      </c>
      <c r="H20" s="31">
        <v>1</v>
      </c>
      <c r="I20" s="38">
        <v>1296000</v>
      </c>
      <c r="J20" s="5"/>
      <c r="K20" s="5"/>
      <c r="L20" s="5"/>
      <c r="M20" s="5"/>
      <c r="N20" s="5"/>
    </row>
    <row r="21" spans="1:14" ht="24.6" customHeight="1">
      <c r="A21" s="102"/>
      <c r="B21" s="105"/>
      <c r="C21" s="46" t="s">
        <v>15</v>
      </c>
      <c r="D21" s="37">
        <f t="shared" si="1"/>
        <v>1</v>
      </c>
      <c r="E21" s="31">
        <f t="shared" si="1"/>
        <v>1098765</v>
      </c>
      <c r="F21" s="31">
        <v>1</v>
      </c>
      <c r="G21" s="31">
        <v>1098765</v>
      </c>
      <c r="H21" s="31">
        <v>0</v>
      </c>
      <c r="I21" s="38">
        <v>0</v>
      </c>
      <c r="J21" s="5"/>
      <c r="K21" s="5"/>
      <c r="L21" s="5"/>
      <c r="M21" s="5"/>
      <c r="N21" s="5"/>
    </row>
    <row r="22" spans="1:14" ht="24.6" customHeight="1">
      <c r="A22" s="102"/>
      <c r="B22" s="105"/>
      <c r="C22" s="46" t="s">
        <v>16</v>
      </c>
      <c r="D22" s="37">
        <f t="shared" si="1"/>
        <v>5</v>
      </c>
      <c r="E22" s="31">
        <f t="shared" si="1"/>
        <v>6594000</v>
      </c>
      <c r="F22" s="31">
        <v>5</v>
      </c>
      <c r="G22" s="31">
        <v>6594000</v>
      </c>
      <c r="H22" s="31">
        <v>0</v>
      </c>
      <c r="I22" s="38">
        <v>0</v>
      </c>
      <c r="J22" s="5"/>
      <c r="K22" s="5"/>
      <c r="L22" s="5"/>
      <c r="M22" s="5"/>
      <c r="N22" s="5"/>
    </row>
    <row r="23" spans="1:14" ht="24.6" customHeight="1">
      <c r="A23" s="102"/>
      <c r="B23" s="105"/>
      <c r="C23" s="46" t="s">
        <v>17</v>
      </c>
      <c r="D23" s="37">
        <f t="shared" si="1"/>
        <v>1</v>
      </c>
      <c r="E23" s="31">
        <f t="shared" si="1"/>
        <v>580473</v>
      </c>
      <c r="F23" s="31">
        <v>1</v>
      </c>
      <c r="G23" s="31">
        <v>580473</v>
      </c>
      <c r="H23" s="31">
        <v>0</v>
      </c>
      <c r="I23" s="38">
        <v>0</v>
      </c>
      <c r="J23" s="5"/>
      <c r="K23" s="5"/>
      <c r="L23" s="5"/>
      <c r="M23" s="5"/>
      <c r="N23" s="5"/>
    </row>
    <row r="24" spans="1:14" ht="24.6" customHeight="1">
      <c r="A24" s="102"/>
      <c r="B24" s="105"/>
      <c r="C24" s="46" t="s">
        <v>18</v>
      </c>
      <c r="D24" s="37">
        <f t="shared" si="1"/>
        <v>2</v>
      </c>
      <c r="E24" s="31">
        <f t="shared" si="1"/>
        <v>3191331</v>
      </c>
      <c r="F24" s="31">
        <v>2</v>
      </c>
      <c r="G24" s="31">
        <v>3191331</v>
      </c>
      <c r="H24" s="31">
        <v>0</v>
      </c>
      <c r="I24" s="38">
        <v>0</v>
      </c>
      <c r="J24" s="5"/>
      <c r="K24" s="5"/>
      <c r="L24" s="5"/>
      <c r="M24" s="5"/>
      <c r="N24" s="5"/>
    </row>
    <row r="25" spans="1:14" ht="24.6" customHeight="1">
      <c r="A25" s="102"/>
      <c r="B25" s="105"/>
      <c r="C25" s="46" t="s">
        <v>19</v>
      </c>
      <c r="D25" s="37">
        <f t="shared" si="1"/>
        <v>5</v>
      </c>
      <c r="E25" s="31">
        <f t="shared" si="1"/>
        <v>2818625</v>
      </c>
      <c r="F25" s="31">
        <v>3</v>
      </c>
      <c r="G25" s="31">
        <v>1472500</v>
      </c>
      <c r="H25" s="31">
        <v>2</v>
      </c>
      <c r="I25" s="38">
        <v>1346125</v>
      </c>
      <c r="J25" s="5"/>
      <c r="K25" s="5"/>
      <c r="L25" s="5"/>
      <c r="M25" s="5"/>
      <c r="N25" s="5"/>
    </row>
    <row r="26" spans="1:14" ht="24.6" customHeight="1">
      <c r="A26" s="102"/>
      <c r="B26" s="105"/>
      <c r="C26" s="46" t="s">
        <v>21</v>
      </c>
      <c r="D26" s="37">
        <f t="shared" si="1"/>
        <v>1</v>
      </c>
      <c r="E26" s="31">
        <f t="shared" si="1"/>
        <v>1080000</v>
      </c>
      <c r="F26" s="31">
        <v>1</v>
      </c>
      <c r="G26" s="31">
        <v>1080000</v>
      </c>
      <c r="H26" s="31">
        <v>0</v>
      </c>
      <c r="I26" s="38">
        <v>0</v>
      </c>
      <c r="J26" s="5"/>
      <c r="K26" s="5"/>
      <c r="L26" s="5"/>
      <c r="M26" s="5"/>
      <c r="N26" s="5"/>
    </row>
    <row r="27" spans="1:14" ht="24.6" customHeight="1">
      <c r="A27" s="102"/>
      <c r="B27" s="105"/>
      <c r="C27" s="46" t="s">
        <v>23</v>
      </c>
      <c r="D27" s="37">
        <f t="shared" si="1"/>
        <v>0</v>
      </c>
      <c r="E27" s="31">
        <f t="shared" si="1"/>
        <v>0</v>
      </c>
      <c r="F27" s="31">
        <v>0</v>
      </c>
      <c r="G27" s="31">
        <v>0</v>
      </c>
      <c r="H27" s="31">
        <v>0</v>
      </c>
      <c r="I27" s="38">
        <v>0</v>
      </c>
      <c r="J27" s="5"/>
      <c r="K27" s="5"/>
      <c r="L27" s="5"/>
      <c r="M27" s="5"/>
      <c r="N27" s="5"/>
    </row>
    <row r="28" spans="1:14" ht="24.6" customHeight="1">
      <c r="A28" s="102"/>
      <c r="B28" s="105"/>
      <c r="C28" s="46" t="s">
        <v>24</v>
      </c>
      <c r="D28" s="37">
        <f t="shared" si="1"/>
        <v>0</v>
      </c>
      <c r="E28" s="31">
        <f t="shared" si="1"/>
        <v>0</v>
      </c>
      <c r="F28" s="31">
        <v>0</v>
      </c>
      <c r="G28" s="31">
        <v>0</v>
      </c>
      <c r="H28" s="31">
        <v>0</v>
      </c>
      <c r="I28" s="38">
        <v>0</v>
      </c>
      <c r="J28" s="5"/>
      <c r="K28" s="5"/>
      <c r="L28" s="5"/>
      <c r="M28" s="5"/>
      <c r="N28" s="5"/>
    </row>
    <row r="29" spans="1:14" ht="28.9" customHeight="1">
      <c r="A29" s="101" t="s">
        <v>134</v>
      </c>
      <c r="B29" s="103" t="s">
        <v>99</v>
      </c>
      <c r="C29" s="45" t="s">
        <v>1</v>
      </c>
      <c r="D29" s="35">
        <f t="shared" ref="D29:E29" si="2">SUM(D30:D41)</f>
        <v>111</v>
      </c>
      <c r="E29" s="30">
        <f t="shared" si="2"/>
        <v>126845199</v>
      </c>
      <c r="F29" s="30">
        <f>SUM(F30:F41)</f>
        <v>91</v>
      </c>
      <c r="G29" s="30">
        <f>SUM(G30:G41)</f>
        <v>103849489</v>
      </c>
      <c r="H29" s="30">
        <f>SUM(H30:H41)</f>
        <v>20</v>
      </c>
      <c r="I29" s="36">
        <f>SUM(I30:I41)</f>
        <v>22995710</v>
      </c>
      <c r="J29" s="5"/>
      <c r="K29" s="5"/>
      <c r="L29" s="5"/>
      <c r="M29" s="5"/>
      <c r="N29" s="5"/>
    </row>
    <row r="30" spans="1:14" ht="28.9" customHeight="1">
      <c r="A30" s="106"/>
      <c r="B30" s="107"/>
      <c r="C30" s="46" t="s">
        <v>54</v>
      </c>
      <c r="D30" s="37">
        <f t="shared" ref="D30:E41" si="3">F30+H30</f>
        <v>0</v>
      </c>
      <c r="E30" s="31">
        <f t="shared" si="3"/>
        <v>0</v>
      </c>
      <c r="F30" s="31">
        <v>0</v>
      </c>
      <c r="G30" s="31">
        <v>0</v>
      </c>
      <c r="H30" s="31">
        <v>0</v>
      </c>
      <c r="I30" s="38">
        <v>0</v>
      </c>
      <c r="J30" s="5"/>
      <c r="K30" s="5"/>
      <c r="L30" s="5"/>
      <c r="M30" s="5"/>
      <c r="N30" s="5"/>
    </row>
    <row r="31" spans="1:14" ht="28.9" customHeight="1">
      <c r="A31" s="106"/>
      <c r="B31" s="107"/>
      <c r="C31" s="47" t="s">
        <v>34</v>
      </c>
      <c r="D31" s="37">
        <f t="shared" si="3"/>
        <v>1</v>
      </c>
      <c r="E31" s="31">
        <f t="shared" si="3"/>
        <v>111000</v>
      </c>
      <c r="F31" s="31">
        <v>1</v>
      </c>
      <c r="G31" s="31">
        <v>111000</v>
      </c>
      <c r="H31" s="31">
        <v>0</v>
      </c>
      <c r="I31" s="38">
        <v>0</v>
      </c>
      <c r="J31" s="5"/>
      <c r="K31" s="5"/>
      <c r="L31" s="5"/>
      <c r="M31" s="5"/>
      <c r="N31" s="5"/>
    </row>
    <row r="32" spans="1:14" ht="28.9" customHeight="1">
      <c r="A32" s="106"/>
      <c r="B32" s="107"/>
      <c r="C32" s="47" t="s">
        <v>35</v>
      </c>
      <c r="D32" s="37">
        <f t="shared" si="3"/>
        <v>0</v>
      </c>
      <c r="E32" s="31">
        <f t="shared" si="3"/>
        <v>0</v>
      </c>
      <c r="F32" s="31">
        <v>0</v>
      </c>
      <c r="G32" s="31">
        <v>0</v>
      </c>
      <c r="H32" s="31">
        <v>0</v>
      </c>
      <c r="I32" s="38">
        <v>0</v>
      </c>
      <c r="J32" s="5"/>
      <c r="K32" s="5"/>
      <c r="L32" s="5"/>
      <c r="M32" s="5"/>
      <c r="N32" s="5"/>
    </row>
    <row r="33" spans="1:14" ht="28.9" customHeight="1">
      <c r="A33" s="106"/>
      <c r="B33" s="107"/>
      <c r="C33" s="47" t="s">
        <v>36</v>
      </c>
      <c r="D33" s="37">
        <f t="shared" si="3"/>
        <v>4</v>
      </c>
      <c r="E33" s="31">
        <f t="shared" si="3"/>
        <v>1191265</v>
      </c>
      <c r="F33" s="31">
        <v>4</v>
      </c>
      <c r="G33" s="31">
        <v>1191265</v>
      </c>
      <c r="H33" s="31">
        <v>0</v>
      </c>
      <c r="I33" s="38">
        <v>0</v>
      </c>
      <c r="J33" s="5"/>
      <c r="K33" s="5"/>
      <c r="L33" s="5"/>
      <c r="M33" s="5"/>
      <c r="N33" s="5"/>
    </row>
    <row r="34" spans="1:14" ht="28.9" customHeight="1">
      <c r="A34" s="106"/>
      <c r="B34" s="107"/>
      <c r="C34" s="47" t="s">
        <v>37</v>
      </c>
      <c r="D34" s="37">
        <f t="shared" si="3"/>
        <v>5</v>
      </c>
      <c r="E34" s="31">
        <f t="shared" si="3"/>
        <v>6930000</v>
      </c>
      <c r="F34" s="31">
        <v>5</v>
      </c>
      <c r="G34" s="31">
        <v>6930000</v>
      </c>
      <c r="H34" s="31">
        <v>0</v>
      </c>
      <c r="I34" s="38">
        <v>0</v>
      </c>
      <c r="J34" s="5"/>
      <c r="K34" s="5"/>
      <c r="L34" s="5"/>
      <c r="M34" s="5"/>
      <c r="N34" s="5"/>
    </row>
    <row r="35" spans="1:14" ht="28.9" customHeight="1">
      <c r="A35" s="106"/>
      <c r="B35" s="107"/>
      <c r="C35" s="47" t="s">
        <v>38</v>
      </c>
      <c r="D35" s="37">
        <f t="shared" si="3"/>
        <v>10</v>
      </c>
      <c r="E35" s="31">
        <f t="shared" si="3"/>
        <v>10894425</v>
      </c>
      <c r="F35" s="31">
        <v>7</v>
      </c>
      <c r="G35" s="31">
        <v>6457425</v>
      </c>
      <c r="H35" s="31">
        <v>3</v>
      </c>
      <c r="I35" s="38">
        <v>4437000</v>
      </c>
      <c r="J35" s="5"/>
      <c r="K35" s="5"/>
      <c r="L35" s="5"/>
      <c r="M35" s="5"/>
      <c r="N35" s="5"/>
    </row>
    <row r="36" spans="1:14" ht="28.9" customHeight="1">
      <c r="A36" s="106"/>
      <c r="B36" s="107"/>
      <c r="C36" s="47" t="s">
        <v>39</v>
      </c>
      <c r="D36" s="37">
        <f t="shared" si="3"/>
        <v>19</v>
      </c>
      <c r="E36" s="31">
        <f t="shared" si="3"/>
        <v>21329765</v>
      </c>
      <c r="F36" s="31">
        <v>15</v>
      </c>
      <c r="G36" s="31">
        <v>17251250</v>
      </c>
      <c r="H36" s="31">
        <v>4</v>
      </c>
      <c r="I36" s="38">
        <v>4078515</v>
      </c>
      <c r="J36" s="5"/>
      <c r="K36" s="5"/>
      <c r="L36" s="5"/>
      <c r="M36" s="5"/>
      <c r="N36" s="5"/>
    </row>
    <row r="37" spans="1:14" ht="28.9" customHeight="1">
      <c r="A37" s="106"/>
      <c r="B37" s="107"/>
      <c r="C37" s="47" t="s">
        <v>40</v>
      </c>
      <c r="D37" s="37">
        <f t="shared" si="3"/>
        <v>21</v>
      </c>
      <c r="E37" s="31">
        <f t="shared" si="3"/>
        <v>21698419</v>
      </c>
      <c r="F37" s="31">
        <v>18</v>
      </c>
      <c r="G37" s="31">
        <v>19093419</v>
      </c>
      <c r="H37" s="31">
        <v>3</v>
      </c>
      <c r="I37" s="38">
        <v>2605000</v>
      </c>
      <c r="J37" s="5"/>
      <c r="K37" s="5"/>
      <c r="L37" s="5"/>
      <c r="M37" s="5"/>
      <c r="N37" s="5"/>
    </row>
    <row r="38" spans="1:14" ht="28.9" customHeight="1">
      <c r="A38" s="106"/>
      <c r="B38" s="107"/>
      <c r="C38" s="47" t="s">
        <v>41</v>
      </c>
      <c r="D38" s="37">
        <f t="shared" si="3"/>
        <v>14</v>
      </c>
      <c r="E38" s="31">
        <f t="shared" si="3"/>
        <v>16906165</v>
      </c>
      <c r="F38" s="31">
        <v>11</v>
      </c>
      <c r="G38" s="31">
        <v>12480415</v>
      </c>
      <c r="H38" s="31">
        <v>3</v>
      </c>
      <c r="I38" s="38">
        <v>4425750</v>
      </c>
      <c r="J38" s="5"/>
      <c r="K38" s="5"/>
      <c r="L38" s="5"/>
      <c r="M38" s="5"/>
      <c r="N38" s="5"/>
    </row>
    <row r="39" spans="1:14" ht="28.9" customHeight="1">
      <c r="A39" s="106"/>
      <c r="B39" s="107"/>
      <c r="C39" s="47" t="s">
        <v>42</v>
      </c>
      <c r="D39" s="37">
        <f t="shared" si="3"/>
        <v>14</v>
      </c>
      <c r="E39" s="31">
        <f t="shared" si="3"/>
        <v>18817015</v>
      </c>
      <c r="F39" s="31">
        <v>11</v>
      </c>
      <c r="G39" s="31">
        <v>14972890</v>
      </c>
      <c r="H39" s="31">
        <v>3</v>
      </c>
      <c r="I39" s="38">
        <v>3844125</v>
      </c>
      <c r="J39" s="5"/>
      <c r="K39" s="5"/>
      <c r="L39" s="5"/>
      <c r="M39" s="5"/>
      <c r="N39" s="5"/>
    </row>
    <row r="40" spans="1:14" ht="28.9" customHeight="1">
      <c r="A40" s="106"/>
      <c r="B40" s="107"/>
      <c r="C40" s="47" t="s">
        <v>43</v>
      </c>
      <c r="D40" s="37">
        <f t="shared" si="3"/>
        <v>14</v>
      </c>
      <c r="E40" s="31">
        <f t="shared" si="3"/>
        <v>19167545</v>
      </c>
      <c r="F40" s="31">
        <v>12</v>
      </c>
      <c r="G40" s="31">
        <v>17322545</v>
      </c>
      <c r="H40" s="31">
        <v>2</v>
      </c>
      <c r="I40" s="38">
        <v>1845000</v>
      </c>
      <c r="J40" s="5"/>
      <c r="K40" s="5"/>
      <c r="L40" s="5"/>
      <c r="M40" s="5"/>
      <c r="N40" s="5"/>
    </row>
    <row r="41" spans="1:14" ht="28.9" customHeight="1">
      <c r="A41" s="106"/>
      <c r="B41" s="107"/>
      <c r="C41" s="47" t="s">
        <v>44</v>
      </c>
      <c r="D41" s="37">
        <f t="shared" si="3"/>
        <v>9</v>
      </c>
      <c r="E41" s="31">
        <f t="shared" si="3"/>
        <v>9799600</v>
      </c>
      <c r="F41" s="31">
        <v>7</v>
      </c>
      <c r="G41" s="31">
        <v>8039280</v>
      </c>
      <c r="H41" s="31">
        <v>2</v>
      </c>
      <c r="I41" s="38">
        <v>1760320</v>
      </c>
      <c r="J41" s="5"/>
      <c r="K41" s="5"/>
      <c r="L41" s="5"/>
      <c r="M41" s="5"/>
      <c r="N41" s="5"/>
    </row>
    <row r="42" spans="1:14" ht="22.15" customHeight="1">
      <c r="A42" s="101" t="s">
        <v>135</v>
      </c>
      <c r="B42" s="103" t="s">
        <v>100</v>
      </c>
      <c r="C42" s="45" t="s">
        <v>1</v>
      </c>
      <c r="D42" s="35">
        <f t="shared" ref="D42:I42" si="4">SUM(D43:D61)</f>
        <v>111</v>
      </c>
      <c r="E42" s="30">
        <f t="shared" si="4"/>
        <v>126845199</v>
      </c>
      <c r="F42" s="30">
        <f t="shared" si="4"/>
        <v>91</v>
      </c>
      <c r="G42" s="30">
        <f t="shared" si="4"/>
        <v>103849489</v>
      </c>
      <c r="H42" s="30">
        <f t="shared" si="4"/>
        <v>20</v>
      </c>
      <c r="I42" s="36">
        <f t="shared" si="4"/>
        <v>22995710</v>
      </c>
    </row>
    <row r="43" spans="1:14" ht="33">
      <c r="A43" s="108"/>
      <c r="B43" s="107"/>
      <c r="C43" s="49" t="s">
        <v>101</v>
      </c>
      <c r="D43" s="37">
        <f t="shared" ref="D43:E61" si="5">F43+H43</f>
        <v>12</v>
      </c>
      <c r="E43" s="31">
        <f t="shared" si="5"/>
        <v>14796792</v>
      </c>
      <c r="F43" s="31">
        <v>11</v>
      </c>
      <c r="G43" s="31">
        <v>13836792</v>
      </c>
      <c r="H43" s="31">
        <v>1</v>
      </c>
      <c r="I43" s="38">
        <v>960000</v>
      </c>
    </row>
    <row r="44" spans="1:14" ht="33">
      <c r="A44" s="108"/>
      <c r="B44" s="107"/>
      <c r="C44" s="49" t="s">
        <v>102</v>
      </c>
      <c r="D44" s="37">
        <f t="shared" si="5"/>
        <v>0</v>
      </c>
      <c r="E44" s="31">
        <f t="shared" si="5"/>
        <v>0</v>
      </c>
      <c r="F44" s="31">
        <v>0</v>
      </c>
      <c r="G44" s="31">
        <v>0</v>
      </c>
      <c r="H44" s="31">
        <v>0</v>
      </c>
      <c r="I44" s="38">
        <v>0</v>
      </c>
    </row>
    <row r="45" spans="1:14" ht="22.15" customHeight="1">
      <c r="A45" s="108"/>
      <c r="B45" s="107"/>
      <c r="C45" s="49" t="s">
        <v>57</v>
      </c>
      <c r="D45" s="37">
        <f t="shared" si="5"/>
        <v>22</v>
      </c>
      <c r="E45" s="31">
        <f t="shared" si="5"/>
        <v>24596850</v>
      </c>
      <c r="F45" s="31">
        <v>18</v>
      </c>
      <c r="G45" s="31">
        <v>19786850</v>
      </c>
      <c r="H45" s="31">
        <v>4</v>
      </c>
      <c r="I45" s="38">
        <v>4810000</v>
      </c>
    </row>
    <row r="46" spans="1:14" ht="33">
      <c r="A46" s="108"/>
      <c r="B46" s="107"/>
      <c r="C46" s="49" t="s">
        <v>103</v>
      </c>
      <c r="D46" s="37">
        <f t="shared" si="5"/>
        <v>1</v>
      </c>
      <c r="E46" s="31">
        <f t="shared" si="5"/>
        <v>231200</v>
      </c>
      <c r="F46" s="31">
        <v>1</v>
      </c>
      <c r="G46" s="31">
        <v>231200</v>
      </c>
      <c r="H46" s="31">
        <v>0</v>
      </c>
      <c r="I46" s="38">
        <v>0</v>
      </c>
    </row>
    <row r="47" spans="1:14" ht="33">
      <c r="A47" s="108"/>
      <c r="B47" s="107"/>
      <c r="C47" s="49" t="s">
        <v>104</v>
      </c>
      <c r="D47" s="37">
        <f t="shared" si="5"/>
        <v>0</v>
      </c>
      <c r="E47" s="31">
        <f t="shared" si="5"/>
        <v>0</v>
      </c>
      <c r="F47" s="31">
        <v>0</v>
      </c>
      <c r="G47" s="31">
        <v>0</v>
      </c>
      <c r="H47" s="31">
        <v>0</v>
      </c>
      <c r="I47" s="38">
        <v>0</v>
      </c>
    </row>
    <row r="48" spans="1:14" ht="22.15" customHeight="1">
      <c r="A48" s="108"/>
      <c r="B48" s="107"/>
      <c r="C48" s="49" t="s">
        <v>105</v>
      </c>
      <c r="D48" s="37">
        <f t="shared" si="5"/>
        <v>19</v>
      </c>
      <c r="E48" s="31">
        <f t="shared" si="5"/>
        <v>19501820</v>
      </c>
      <c r="F48" s="31">
        <v>17</v>
      </c>
      <c r="G48" s="31">
        <v>17621500</v>
      </c>
      <c r="H48" s="31">
        <v>2</v>
      </c>
      <c r="I48" s="38">
        <v>1880320</v>
      </c>
    </row>
    <row r="49" spans="1:59" ht="22.15" customHeight="1">
      <c r="A49" s="108"/>
      <c r="B49" s="107"/>
      <c r="C49" s="49" t="s">
        <v>106</v>
      </c>
      <c r="D49" s="37">
        <f t="shared" si="5"/>
        <v>18</v>
      </c>
      <c r="E49" s="31">
        <f t="shared" si="5"/>
        <v>21092147</v>
      </c>
      <c r="F49" s="31">
        <v>15</v>
      </c>
      <c r="G49" s="31">
        <v>17456132</v>
      </c>
      <c r="H49" s="31">
        <v>3</v>
      </c>
      <c r="I49" s="38">
        <v>3636015</v>
      </c>
    </row>
    <row r="50" spans="1:59" ht="22.15" customHeight="1">
      <c r="A50" s="108"/>
      <c r="B50" s="107"/>
      <c r="C50" s="49" t="s">
        <v>107</v>
      </c>
      <c r="D50" s="37">
        <f t="shared" si="5"/>
        <v>7</v>
      </c>
      <c r="E50" s="31">
        <f t="shared" si="5"/>
        <v>11621445</v>
      </c>
      <c r="F50" s="31">
        <v>6</v>
      </c>
      <c r="G50" s="31">
        <v>10541445</v>
      </c>
      <c r="H50" s="31">
        <v>1</v>
      </c>
      <c r="I50" s="38">
        <v>1080000</v>
      </c>
    </row>
    <row r="51" spans="1:59" ht="22.15" customHeight="1">
      <c r="A51" s="108"/>
      <c r="B51" s="107"/>
      <c r="C51" s="49" t="s">
        <v>108</v>
      </c>
      <c r="D51" s="37">
        <f t="shared" si="5"/>
        <v>3</v>
      </c>
      <c r="E51" s="31">
        <f t="shared" si="5"/>
        <v>2723250</v>
      </c>
      <c r="F51" s="31">
        <v>3</v>
      </c>
      <c r="G51" s="31">
        <v>2723250</v>
      </c>
      <c r="H51" s="31">
        <v>0</v>
      </c>
      <c r="I51" s="38">
        <v>0</v>
      </c>
    </row>
    <row r="52" spans="1:59" ht="33">
      <c r="A52" s="108"/>
      <c r="B52" s="107"/>
      <c r="C52" s="49" t="s">
        <v>130</v>
      </c>
      <c r="D52" s="37">
        <f t="shared" si="5"/>
        <v>1</v>
      </c>
      <c r="E52" s="31">
        <f t="shared" si="5"/>
        <v>1080000</v>
      </c>
      <c r="F52" s="31">
        <v>1</v>
      </c>
      <c r="G52" s="31">
        <v>1080000</v>
      </c>
      <c r="H52" s="31">
        <v>0</v>
      </c>
      <c r="I52" s="38">
        <v>0</v>
      </c>
    </row>
    <row r="53" spans="1:59" ht="22.15" customHeight="1">
      <c r="A53" s="108"/>
      <c r="B53" s="107"/>
      <c r="C53" s="49" t="s">
        <v>109</v>
      </c>
      <c r="D53" s="37">
        <f t="shared" si="5"/>
        <v>1</v>
      </c>
      <c r="E53" s="31">
        <f t="shared" si="5"/>
        <v>1080000</v>
      </c>
      <c r="F53" s="31">
        <v>1</v>
      </c>
      <c r="G53" s="31">
        <v>1080000</v>
      </c>
      <c r="H53" s="31">
        <v>0</v>
      </c>
      <c r="I53" s="38">
        <v>0</v>
      </c>
    </row>
    <row r="54" spans="1:59" ht="22.15" customHeight="1">
      <c r="A54" s="108"/>
      <c r="B54" s="107"/>
      <c r="C54" s="49" t="s">
        <v>59</v>
      </c>
      <c r="D54" s="37">
        <f t="shared" si="5"/>
        <v>2</v>
      </c>
      <c r="E54" s="31">
        <f t="shared" si="5"/>
        <v>2262015</v>
      </c>
      <c r="F54" s="31">
        <v>2</v>
      </c>
      <c r="G54" s="31">
        <v>2262015</v>
      </c>
      <c r="H54" s="31">
        <v>0</v>
      </c>
      <c r="I54" s="38">
        <v>0</v>
      </c>
    </row>
    <row r="55" spans="1:59" ht="33">
      <c r="A55" s="108"/>
      <c r="B55" s="107"/>
      <c r="C55" s="49" t="s">
        <v>110</v>
      </c>
      <c r="D55" s="37">
        <f t="shared" si="5"/>
        <v>3</v>
      </c>
      <c r="E55" s="31">
        <f t="shared" si="5"/>
        <v>4612860</v>
      </c>
      <c r="F55" s="31">
        <v>3</v>
      </c>
      <c r="G55" s="31">
        <v>4612860</v>
      </c>
      <c r="H55" s="31">
        <v>0</v>
      </c>
      <c r="I55" s="38">
        <v>0</v>
      </c>
    </row>
    <row r="56" spans="1:59" ht="22.15" customHeight="1">
      <c r="A56" s="108"/>
      <c r="B56" s="107"/>
      <c r="C56" s="49" t="s">
        <v>60</v>
      </c>
      <c r="D56" s="37">
        <f t="shared" si="5"/>
        <v>9</v>
      </c>
      <c r="E56" s="31">
        <f t="shared" si="5"/>
        <v>11552320</v>
      </c>
      <c r="F56" s="31">
        <v>7</v>
      </c>
      <c r="G56" s="31">
        <v>8970445</v>
      </c>
      <c r="H56" s="31">
        <v>2</v>
      </c>
      <c r="I56" s="38">
        <v>2581875</v>
      </c>
    </row>
    <row r="57" spans="1:59" ht="49.5">
      <c r="A57" s="108"/>
      <c r="B57" s="107"/>
      <c r="C57" s="49" t="s">
        <v>81</v>
      </c>
      <c r="D57" s="37">
        <f t="shared" si="5"/>
        <v>4</v>
      </c>
      <c r="E57" s="31">
        <f t="shared" si="5"/>
        <v>2361500</v>
      </c>
      <c r="F57" s="31">
        <v>3</v>
      </c>
      <c r="G57" s="31">
        <v>998000</v>
      </c>
      <c r="H57" s="31">
        <v>1</v>
      </c>
      <c r="I57" s="38">
        <v>1363500</v>
      </c>
    </row>
    <row r="58" spans="1:59" ht="22.15" customHeight="1">
      <c r="A58" s="108"/>
      <c r="B58" s="107"/>
      <c r="C58" s="49" t="s">
        <v>111</v>
      </c>
      <c r="D58" s="37">
        <f t="shared" si="5"/>
        <v>1</v>
      </c>
      <c r="E58" s="31">
        <f t="shared" si="5"/>
        <v>2061000</v>
      </c>
      <c r="F58" s="31">
        <v>0</v>
      </c>
      <c r="G58" s="31">
        <v>0</v>
      </c>
      <c r="H58" s="31">
        <v>1</v>
      </c>
      <c r="I58" s="38">
        <v>2061000</v>
      </c>
    </row>
    <row r="59" spans="1:59" ht="33">
      <c r="A59" s="108"/>
      <c r="B59" s="107"/>
      <c r="C59" s="49" t="s">
        <v>112</v>
      </c>
      <c r="D59" s="37">
        <f t="shared" si="5"/>
        <v>2</v>
      </c>
      <c r="E59" s="31">
        <f t="shared" si="5"/>
        <v>2052000</v>
      </c>
      <c r="F59" s="31">
        <v>1</v>
      </c>
      <c r="G59" s="31">
        <v>1287000</v>
      </c>
      <c r="H59" s="31">
        <v>1</v>
      </c>
      <c r="I59" s="38">
        <v>765000</v>
      </c>
    </row>
    <row r="60" spans="1:59" ht="33">
      <c r="A60" s="108"/>
      <c r="B60" s="107"/>
      <c r="C60" s="49" t="s">
        <v>83</v>
      </c>
      <c r="D60" s="37">
        <f t="shared" si="5"/>
        <v>0</v>
      </c>
      <c r="E60" s="31">
        <f t="shared" si="5"/>
        <v>0</v>
      </c>
      <c r="F60" s="31">
        <v>0</v>
      </c>
      <c r="G60" s="31">
        <v>0</v>
      </c>
      <c r="H60" s="31">
        <v>0</v>
      </c>
      <c r="I60" s="38">
        <v>0</v>
      </c>
    </row>
    <row r="61" spans="1:59" ht="22.15" customHeight="1" thickBot="1">
      <c r="A61" s="109"/>
      <c r="B61" s="110"/>
      <c r="C61" s="50" t="s">
        <v>62</v>
      </c>
      <c r="D61" s="39">
        <f t="shared" si="5"/>
        <v>6</v>
      </c>
      <c r="E61" s="32">
        <f t="shared" si="5"/>
        <v>5220000</v>
      </c>
      <c r="F61" s="32">
        <v>2</v>
      </c>
      <c r="G61" s="32">
        <v>1362000</v>
      </c>
      <c r="H61" s="32">
        <v>4</v>
      </c>
      <c r="I61" s="40">
        <v>3858000</v>
      </c>
    </row>
    <row r="62" spans="1:59" s="67" customFormat="1" ht="86.45" customHeight="1">
      <c r="A62" s="66"/>
      <c r="B62" s="10"/>
      <c r="C62" s="10"/>
      <c r="D62" s="135" t="s">
        <v>139</v>
      </c>
      <c r="E62" s="136"/>
      <c r="F62" s="136"/>
      <c r="G62" s="136"/>
      <c r="H62" s="136"/>
      <c r="I62" s="136"/>
      <c r="L62" s="10"/>
      <c r="S62" s="10"/>
      <c r="Z62" s="10"/>
      <c r="AH62" s="10"/>
      <c r="BG62" s="10"/>
    </row>
  </sheetData>
  <mergeCells count="14">
    <mergeCell ref="A42:A61"/>
    <mergeCell ref="B42:B61"/>
    <mergeCell ref="D62:I62"/>
    <mergeCell ref="A6:A28"/>
    <mergeCell ref="B6:B28"/>
    <mergeCell ref="A29:A41"/>
    <mergeCell ref="B29:B41"/>
    <mergeCell ref="A1:I1"/>
    <mergeCell ref="D4:E4"/>
    <mergeCell ref="F4:G4"/>
    <mergeCell ref="H4:I4"/>
    <mergeCell ref="A3:A5"/>
    <mergeCell ref="B3:C5"/>
    <mergeCell ref="D3:I3"/>
  </mergeCells>
  <phoneticPr fontId="15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125" style="4" customWidth="1"/>
    <col min="2" max="2" width="4.625" style="4" customWidth="1"/>
    <col min="3" max="3" width="14.75" style="6" customWidth="1"/>
    <col min="4" max="4" width="7.75" style="77" customWidth="1"/>
    <col min="5" max="5" width="12.875" style="77" customWidth="1"/>
    <col min="6" max="6" width="7.75" style="77" customWidth="1"/>
    <col min="7" max="7" width="12.875" style="77" customWidth="1"/>
    <col min="8" max="8" width="7.75" style="77" customWidth="1"/>
    <col min="9" max="9" width="12.875" style="77" customWidth="1"/>
    <col min="10" max="10" width="7.75" style="2" customWidth="1"/>
    <col min="11" max="11" width="12.875" style="2" customWidth="1"/>
    <col min="12" max="12" width="7.75" style="2" customWidth="1"/>
    <col min="13" max="13" width="12.875" style="2" customWidth="1"/>
    <col min="14" max="14" width="7.75" style="2" customWidth="1"/>
    <col min="15" max="15" width="12.875" style="2" customWidth="1"/>
    <col min="16" max="16" width="7.75" style="2" customWidth="1"/>
    <col min="17" max="17" width="12.875" style="2" customWidth="1"/>
    <col min="18" max="18" width="7.75" style="2" customWidth="1"/>
    <col min="19" max="19" width="12.875" style="2" customWidth="1"/>
    <col min="20" max="20" width="7.75" style="2" customWidth="1"/>
    <col min="21" max="21" width="12.875" style="2" customWidth="1"/>
    <col min="22" max="22" width="7.75" style="2" customWidth="1"/>
    <col min="23" max="23" width="12.875" style="2" customWidth="1"/>
    <col min="24" max="24" width="7.75" style="2" customWidth="1"/>
    <col min="25" max="25" width="12.875" style="2" customWidth="1"/>
    <col min="26" max="26" width="7.75" style="2" customWidth="1"/>
    <col min="27" max="27" width="12.875" style="2" customWidth="1"/>
    <col min="28" max="28" width="7.75" style="2" customWidth="1"/>
    <col min="29" max="29" width="12.875" style="2" customWidth="1"/>
    <col min="30" max="30" width="7.75" style="2" customWidth="1"/>
    <col min="31" max="31" width="12.875" style="2" customWidth="1"/>
    <col min="32" max="32" width="7.75" style="2" customWidth="1"/>
    <col min="33" max="33" width="12.875" style="2" customWidth="1"/>
    <col min="34" max="34" width="7.75" style="2" customWidth="1"/>
    <col min="35" max="35" width="12.875" style="2" customWidth="1"/>
    <col min="36" max="36" width="7.75" style="2" customWidth="1"/>
    <col min="37" max="37" width="12.875" style="2" customWidth="1"/>
    <col min="38" max="38" width="7.75" style="2" customWidth="1"/>
    <col min="39" max="39" width="12.875" style="2" customWidth="1"/>
    <col min="40" max="40" width="7.75" style="2" customWidth="1"/>
    <col min="41" max="41" width="12.875" style="2" customWidth="1"/>
    <col min="42" max="42" width="7.75" style="2" customWidth="1"/>
    <col min="43" max="43" width="12.875" style="2" customWidth="1"/>
    <col min="44" max="44" width="7.75" style="2" customWidth="1"/>
    <col min="45" max="45" width="12.875" style="2" customWidth="1"/>
    <col min="46" max="46" width="14.625" style="2" customWidth="1"/>
    <col min="47" max="47" width="9.625" style="2" customWidth="1"/>
    <col min="48" max="48" width="14.625" style="2" customWidth="1"/>
    <col min="49" max="49" width="9.625" style="2" customWidth="1"/>
    <col min="50" max="50" width="14.625" style="2" customWidth="1"/>
    <col min="51" max="16384" width="9" style="2"/>
  </cols>
  <sheetData>
    <row r="1" spans="1:50" s="73" customFormat="1" ht="42" customHeight="1">
      <c r="A1" s="28"/>
      <c r="B1" s="72"/>
      <c r="C1" s="72"/>
      <c r="D1" s="138" t="s">
        <v>127</v>
      </c>
      <c r="E1" s="139"/>
      <c r="F1" s="139"/>
      <c r="G1" s="139"/>
      <c r="H1" s="139"/>
      <c r="I1" s="139"/>
      <c r="J1" s="140" t="s">
        <v>127</v>
      </c>
      <c r="K1" s="141"/>
      <c r="L1" s="141"/>
      <c r="M1" s="141"/>
      <c r="N1" s="141"/>
      <c r="O1" s="141"/>
      <c r="P1" s="140" t="s">
        <v>127</v>
      </c>
      <c r="Q1" s="141"/>
      <c r="R1" s="141"/>
      <c r="S1" s="141"/>
      <c r="T1" s="141"/>
      <c r="U1" s="141"/>
      <c r="V1" s="140" t="s">
        <v>127</v>
      </c>
      <c r="W1" s="141"/>
      <c r="X1" s="141"/>
      <c r="Y1" s="141"/>
      <c r="Z1" s="141"/>
      <c r="AA1" s="141"/>
      <c r="AB1" s="140" t="s">
        <v>127</v>
      </c>
      <c r="AC1" s="141"/>
      <c r="AD1" s="141"/>
      <c r="AE1" s="141"/>
      <c r="AF1" s="141"/>
      <c r="AG1" s="141"/>
      <c r="AH1" s="140" t="s">
        <v>127</v>
      </c>
      <c r="AI1" s="141"/>
      <c r="AJ1" s="141"/>
      <c r="AK1" s="141"/>
      <c r="AL1" s="141"/>
      <c r="AM1" s="141"/>
      <c r="AN1" s="140" t="s">
        <v>127</v>
      </c>
      <c r="AO1" s="141"/>
      <c r="AP1" s="141"/>
      <c r="AQ1" s="141"/>
      <c r="AR1" s="141"/>
      <c r="AS1" s="141"/>
    </row>
    <row r="2" spans="1:50" ht="18" customHeight="1" thickBot="1"/>
    <row r="3" spans="1:50" s="6" customFormat="1" ht="23.45" customHeight="1">
      <c r="A3" s="111" t="s">
        <v>113</v>
      </c>
      <c r="B3" s="113" t="s">
        <v>56</v>
      </c>
      <c r="C3" s="114"/>
      <c r="D3" s="126" t="s">
        <v>131</v>
      </c>
      <c r="E3" s="127"/>
      <c r="F3" s="127"/>
      <c r="G3" s="127"/>
      <c r="H3" s="127"/>
      <c r="I3" s="128"/>
      <c r="J3" s="119" t="s">
        <v>129</v>
      </c>
      <c r="K3" s="120"/>
      <c r="L3" s="120"/>
      <c r="M3" s="120"/>
      <c r="N3" s="120"/>
      <c r="O3" s="121"/>
      <c r="P3" s="142" t="s">
        <v>126</v>
      </c>
      <c r="Q3" s="143"/>
      <c r="R3" s="143"/>
      <c r="S3" s="143"/>
      <c r="T3" s="143"/>
      <c r="U3" s="144"/>
      <c r="V3" s="119" t="s">
        <v>122</v>
      </c>
      <c r="W3" s="120"/>
      <c r="X3" s="120"/>
      <c r="Y3" s="120"/>
      <c r="Z3" s="120"/>
      <c r="AA3" s="121"/>
      <c r="AB3" s="142" t="s">
        <v>121</v>
      </c>
      <c r="AC3" s="143"/>
      <c r="AD3" s="143"/>
      <c r="AE3" s="143"/>
      <c r="AF3" s="143"/>
      <c r="AG3" s="144"/>
      <c r="AH3" s="119" t="s">
        <v>98</v>
      </c>
      <c r="AI3" s="120"/>
      <c r="AJ3" s="120"/>
      <c r="AK3" s="120"/>
      <c r="AL3" s="120"/>
      <c r="AM3" s="121"/>
      <c r="AN3" s="142" t="s">
        <v>96</v>
      </c>
      <c r="AO3" s="143"/>
      <c r="AP3" s="143"/>
      <c r="AQ3" s="143"/>
      <c r="AR3" s="143"/>
      <c r="AS3" s="144"/>
    </row>
    <row r="4" spans="1:50" s="3" customFormat="1" ht="23.45" customHeight="1">
      <c r="A4" s="112"/>
      <c r="B4" s="115"/>
      <c r="C4" s="116"/>
      <c r="D4" s="129" t="s">
        <v>92</v>
      </c>
      <c r="E4" s="130"/>
      <c r="F4" s="131" t="s">
        <v>93</v>
      </c>
      <c r="G4" s="130"/>
      <c r="H4" s="131" t="s">
        <v>94</v>
      </c>
      <c r="I4" s="132"/>
      <c r="J4" s="122" t="s">
        <v>92</v>
      </c>
      <c r="K4" s="123"/>
      <c r="L4" s="124" t="s">
        <v>93</v>
      </c>
      <c r="M4" s="123"/>
      <c r="N4" s="124" t="s">
        <v>94</v>
      </c>
      <c r="O4" s="125"/>
      <c r="P4" s="145" t="s">
        <v>92</v>
      </c>
      <c r="Q4" s="146"/>
      <c r="R4" s="147" t="s">
        <v>93</v>
      </c>
      <c r="S4" s="146"/>
      <c r="T4" s="147" t="s">
        <v>94</v>
      </c>
      <c r="U4" s="148"/>
      <c r="V4" s="122" t="s">
        <v>92</v>
      </c>
      <c r="W4" s="123"/>
      <c r="X4" s="124" t="s">
        <v>93</v>
      </c>
      <c r="Y4" s="123"/>
      <c r="Z4" s="124" t="s">
        <v>94</v>
      </c>
      <c r="AA4" s="125"/>
      <c r="AB4" s="145" t="s">
        <v>92</v>
      </c>
      <c r="AC4" s="146"/>
      <c r="AD4" s="147" t="s">
        <v>93</v>
      </c>
      <c r="AE4" s="146"/>
      <c r="AF4" s="147" t="s">
        <v>94</v>
      </c>
      <c r="AG4" s="148"/>
      <c r="AH4" s="122" t="s">
        <v>92</v>
      </c>
      <c r="AI4" s="123"/>
      <c r="AJ4" s="124" t="s">
        <v>93</v>
      </c>
      <c r="AK4" s="123"/>
      <c r="AL4" s="124" t="s">
        <v>94</v>
      </c>
      <c r="AM4" s="125"/>
      <c r="AN4" s="145" t="s">
        <v>92</v>
      </c>
      <c r="AO4" s="146"/>
      <c r="AP4" s="147" t="s">
        <v>93</v>
      </c>
      <c r="AQ4" s="146"/>
      <c r="AR4" s="147" t="s">
        <v>94</v>
      </c>
      <c r="AS4" s="148"/>
    </row>
    <row r="5" spans="1:50" ht="23.45" customHeight="1">
      <c r="A5" s="112"/>
      <c r="B5" s="117"/>
      <c r="C5" s="118"/>
      <c r="D5" s="78" t="s">
        <v>26</v>
      </c>
      <c r="E5" s="79" t="s">
        <v>27</v>
      </c>
      <c r="F5" s="79" t="s">
        <v>26</v>
      </c>
      <c r="G5" s="79" t="s">
        <v>27</v>
      </c>
      <c r="H5" s="79" t="s">
        <v>26</v>
      </c>
      <c r="I5" s="80" t="s">
        <v>27</v>
      </c>
      <c r="J5" s="74" t="s">
        <v>26</v>
      </c>
      <c r="K5" s="75" t="s">
        <v>27</v>
      </c>
      <c r="L5" s="75" t="s">
        <v>26</v>
      </c>
      <c r="M5" s="75" t="s">
        <v>27</v>
      </c>
      <c r="N5" s="75" t="s">
        <v>26</v>
      </c>
      <c r="O5" s="76" t="s">
        <v>27</v>
      </c>
      <c r="P5" s="69" t="s">
        <v>26</v>
      </c>
      <c r="Q5" s="70" t="s">
        <v>27</v>
      </c>
      <c r="R5" s="70" t="s">
        <v>26</v>
      </c>
      <c r="S5" s="70" t="s">
        <v>27</v>
      </c>
      <c r="T5" s="70" t="s">
        <v>26</v>
      </c>
      <c r="U5" s="71" t="s">
        <v>27</v>
      </c>
      <c r="V5" s="33" t="s">
        <v>26</v>
      </c>
      <c r="W5" s="29" t="s">
        <v>27</v>
      </c>
      <c r="X5" s="29" t="s">
        <v>26</v>
      </c>
      <c r="Y5" s="29" t="s">
        <v>27</v>
      </c>
      <c r="Z5" s="29" t="s">
        <v>26</v>
      </c>
      <c r="AA5" s="34" t="s">
        <v>27</v>
      </c>
      <c r="AB5" s="41" t="s">
        <v>26</v>
      </c>
      <c r="AC5" s="26" t="s">
        <v>27</v>
      </c>
      <c r="AD5" s="26" t="s">
        <v>26</v>
      </c>
      <c r="AE5" s="26" t="s">
        <v>27</v>
      </c>
      <c r="AF5" s="26" t="s">
        <v>26</v>
      </c>
      <c r="AG5" s="27" t="s">
        <v>27</v>
      </c>
      <c r="AH5" s="33" t="s">
        <v>26</v>
      </c>
      <c r="AI5" s="29" t="s">
        <v>47</v>
      </c>
      <c r="AJ5" s="29" t="s">
        <v>26</v>
      </c>
      <c r="AK5" s="29" t="s">
        <v>47</v>
      </c>
      <c r="AL5" s="29" t="s">
        <v>26</v>
      </c>
      <c r="AM5" s="34" t="s">
        <v>47</v>
      </c>
      <c r="AN5" s="41" t="s">
        <v>26</v>
      </c>
      <c r="AO5" s="26" t="s">
        <v>47</v>
      </c>
      <c r="AP5" s="26" t="s">
        <v>26</v>
      </c>
      <c r="AQ5" s="26" t="s">
        <v>47</v>
      </c>
      <c r="AR5" s="26" t="s">
        <v>26</v>
      </c>
      <c r="AS5" s="27" t="s">
        <v>47</v>
      </c>
    </row>
    <row r="6" spans="1:50" ht="24.6" customHeight="1">
      <c r="A6" s="101" t="s">
        <v>114</v>
      </c>
      <c r="B6" s="103" t="s">
        <v>45</v>
      </c>
      <c r="C6" s="45" t="s">
        <v>1</v>
      </c>
      <c r="D6" s="81">
        <f t="shared" ref="D6:I6" si="0">SUM(D7:D28)</f>
        <v>510</v>
      </c>
      <c r="E6" s="82">
        <f t="shared" si="0"/>
        <v>460165149</v>
      </c>
      <c r="F6" s="82">
        <f t="shared" si="0"/>
        <v>417</v>
      </c>
      <c r="G6" s="82">
        <f t="shared" si="0"/>
        <v>368026063</v>
      </c>
      <c r="H6" s="82">
        <f t="shared" si="0"/>
        <v>93</v>
      </c>
      <c r="I6" s="83">
        <f t="shared" si="0"/>
        <v>92139086</v>
      </c>
      <c r="J6" s="35">
        <f t="shared" ref="J6:O6" si="1">SUM(J7:J28)</f>
        <v>553</v>
      </c>
      <c r="K6" s="30">
        <f t="shared" si="1"/>
        <v>479503597</v>
      </c>
      <c r="L6" s="30">
        <f t="shared" si="1"/>
        <v>443</v>
      </c>
      <c r="M6" s="30">
        <f t="shared" si="1"/>
        <v>384352082</v>
      </c>
      <c r="N6" s="30">
        <f t="shared" si="1"/>
        <v>110</v>
      </c>
      <c r="O6" s="36">
        <f t="shared" si="1"/>
        <v>95151515</v>
      </c>
      <c r="P6" s="42">
        <f t="shared" ref="P6:U6" si="2">SUM(P7:P28)</f>
        <v>506</v>
      </c>
      <c r="Q6" s="21">
        <f t="shared" si="2"/>
        <v>460931939</v>
      </c>
      <c r="R6" s="21">
        <f t="shared" si="2"/>
        <v>425</v>
      </c>
      <c r="S6" s="21">
        <f t="shared" si="2"/>
        <v>381079869</v>
      </c>
      <c r="T6" s="21">
        <f t="shared" si="2"/>
        <v>81</v>
      </c>
      <c r="U6" s="22">
        <f t="shared" si="2"/>
        <v>79852070</v>
      </c>
      <c r="V6" s="35">
        <f t="shared" ref="V6:AA6" si="3">SUM(V7:V28)</f>
        <v>571</v>
      </c>
      <c r="W6" s="30">
        <f t="shared" si="3"/>
        <v>536856397</v>
      </c>
      <c r="X6" s="30">
        <f t="shared" si="3"/>
        <v>462</v>
      </c>
      <c r="Y6" s="30">
        <f t="shared" si="3"/>
        <v>427514747</v>
      </c>
      <c r="Z6" s="30">
        <f t="shared" si="3"/>
        <v>109</v>
      </c>
      <c r="AA6" s="36">
        <f t="shared" si="3"/>
        <v>109341650</v>
      </c>
      <c r="AB6" s="42">
        <f t="shared" ref="AB6:AG6" si="4">SUM(AB7:AB28)</f>
        <v>547</v>
      </c>
      <c r="AC6" s="21">
        <f t="shared" si="4"/>
        <v>514163521</v>
      </c>
      <c r="AD6" s="21">
        <f t="shared" si="4"/>
        <v>457</v>
      </c>
      <c r="AE6" s="21">
        <f t="shared" si="4"/>
        <v>417851066</v>
      </c>
      <c r="AF6" s="21">
        <f t="shared" si="4"/>
        <v>90</v>
      </c>
      <c r="AG6" s="22">
        <f t="shared" si="4"/>
        <v>96312455</v>
      </c>
      <c r="AH6" s="35">
        <f t="shared" ref="AH6:AS6" si="5">SUM(AH7:AH28)</f>
        <v>573</v>
      </c>
      <c r="AI6" s="30">
        <f t="shared" si="5"/>
        <v>536059130</v>
      </c>
      <c r="AJ6" s="30">
        <f t="shared" si="5"/>
        <v>486</v>
      </c>
      <c r="AK6" s="30">
        <f t="shared" si="5"/>
        <v>447384235</v>
      </c>
      <c r="AL6" s="30">
        <f t="shared" si="5"/>
        <v>87</v>
      </c>
      <c r="AM6" s="36">
        <f t="shared" si="5"/>
        <v>88674895</v>
      </c>
      <c r="AN6" s="42">
        <f t="shared" si="5"/>
        <v>620</v>
      </c>
      <c r="AO6" s="21">
        <f t="shared" si="5"/>
        <v>568599130</v>
      </c>
      <c r="AP6" s="21">
        <f t="shared" si="5"/>
        <v>531</v>
      </c>
      <c r="AQ6" s="21">
        <f t="shared" si="5"/>
        <v>487880095</v>
      </c>
      <c r="AR6" s="21">
        <f t="shared" si="5"/>
        <v>89</v>
      </c>
      <c r="AS6" s="22">
        <f t="shared" si="5"/>
        <v>80719035</v>
      </c>
      <c r="AT6" s="5"/>
      <c r="AU6" s="5"/>
      <c r="AV6" s="5"/>
      <c r="AW6" s="5"/>
      <c r="AX6" s="5"/>
    </row>
    <row r="7" spans="1:50" ht="24.6" customHeight="1">
      <c r="A7" s="101"/>
      <c r="B7" s="104"/>
      <c r="C7" s="45" t="s">
        <v>49</v>
      </c>
      <c r="D7" s="81">
        <f t="shared" ref="D7:D28" si="6">F7+H7</f>
        <v>63</v>
      </c>
      <c r="E7" s="82">
        <f t="shared" ref="E7:E28" si="7">G7+I7</f>
        <v>65256982</v>
      </c>
      <c r="F7" s="82">
        <v>45</v>
      </c>
      <c r="G7" s="82">
        <v>44328425</v>
      </c>
      <c r="H7" s="82">
        <v>18</v>
      </c>
      <c r="I7" s="83">
        <v>20928557</v>
      </c>
      <c r="J7" s="35">
        <f t="shared" ref="J7:J28" si="8">L7+N7</f>
        <v>63</v>
      </c>
      <c r="K7" s="30">
        <f t="shared" ref="K7:K28" si="9">M7+O7</f>
        <v>61008312</v>
      </c>
      <c r="L7" s="30">
        <v>51</v>
      </c>
      <c r="M7" s="30">
        <v>49791262</v>
      </c>
      <c r="N7" s="30">
        <v>12</v>
      </c>
      <c r="O7" s="36">
        <v>11217050</v>
      </c>
      <c r="P7" s="42">
        <f t="shared" ref="P7:P28" si="10">R7+T7</f>
        <v>45</v>
      </c>
      <c r="Q7" s="21">
        <f t="shared" ref="Q7:Q28" si="11">S7+U7</f>
        <v>37564479</v>
      </c>
      <c r="R7" s="21">
        <v>41</v>
      </c>
      <c r="S7" s="21">
        <v>34495579</v>
      </c>
      <c r="T7" s="21">
        <v>4</v>
      </c>
      <c r="U7" s="22">
        <v>3068900</v>
      </c>
      <c r="V7" s="35">
        <f t="shared" ref="V7:V28" si="12">X7+Z7</f>
        <v>79</v>
      </c>
      <c r="W7" s="30">
        <f t="shared" ref="W7:W28" si="13">Y7+AA7</f>
        <v>78993325</v>
      </c>
      <c r="X7" s="30">
        <v>61</v>
      </c>
      <c r="Y7" s="30">
        <v>63098775</v>
      </c>
      <c r="Z7" s="30">
        <v>18</v>
      </c>
      <c r="AA7" s="36">
        <v>15894550</v>
      </c>
      <c r="AB7" s="42">
        <f t="shared" ref="AB7:AB28" si="14">AD7+AF7</f>
        <v>65</v>
      </c>
      <c r="AC7" s="21">
        <f t="shared" ref="AC7:AC28" si="15">AE7+AG7</f>
        <v>64003420</v>
      </c>
      <c r="AD7" s="21">
        <v>55</v>
      </c>
      <c r="AE7" s="21">
        <v>50903570</v>
      </c>
      <c r="AF7" s="21">
        <v>10</v>
      </c>
      <c r="AG7" s="22">
        <v>13099850</v>
      </c>
      <c r="AH7" s="35">
        <f t="shared" ref="AH7:AI28" si="16">AJ7+AL7</f>
        <v>71</v>
      </c>
      <c r="AI7" s="30">
        <f t="shared" si="16"/>
        <v>69365213</v>
      </c>
      <c r="AJ7" s="30">
        <v>59</v>
      </c>
      <c r="AK7" s="30">
        <f>57070115+1033778</f>
        <v>58103893</v>
      </c>
      <c r="AL7" s="30">
        <v>12</v>
      </c>
      <c r="AM7" s="36">
        <v>11261320</v>
      </c>
      <c r="AN7" s="42">
        <f t="shared" ref="AN7:AO28" si="17">AP7+AR7</f>
        <v>82</v>
      </c>
      <c r="AO7" s="21">
        <f t="shared" si="17"/>
        <v>74586201</v>
      </c>
      <c r="AP7" s="21">
        <f>70+2</f>
        <v>72</v>
      </c>
      <c r="AQ7" s="21">
        <f>62610415+756786</f>
        <v>63367201</v>
      </c>
      <c r="AR7" s="21">
        <v>10</v>
      </c>
      <c r="AS7" s="22">
        <v>11219000</v>
      </c>
      <c r="AT7" s="5"/>
      <c r="AU7" s="5"/>
      <c r="AV7" s="5"/>
      <c r="AW7" s="5"/>
      <c r="AX7" s="5"/>
    </row>
    <row r="8" spans="1:50" ht="24.6" customHeight="1">
      <c r="A8" s="101"/>
      <c r="B8" s="104"/>
      <c r="C8" s="45" t="s">
        <v>50</v>
      </c>
      <c r="D8" s="81">
        <f t="shared" si="6"/>
        <v>69</v>
      </c>
      <c r="E8" s="82">
        <f t="shared" si="7"/>
        <v>58918839</v>
      </c>
      <c r="F8" s="82">
        <v>56</v>
      </c>
      <c r="G8" s="82">
        <v>48033574</v>
      </c>
      <c r="H8" s="82">
        <v>13</v>
      </c>
      <c r="I8" s="83">
        <v>10885265</v>
      </c>
      <c r="J8" s="35">
        <f t="shared" si="8"/>
        <v>71</v>
      </c>
      <c r="K8" s="30">
        <f t="shared" si="9"/>
        <v>65015713</v>
      </c>
      <c r="L8" s="30">
        <v>58</v>
      </c>
      <c r="M8" s="30">
        <v>53141578</v>
      </c>
      <c r="N8" s="30">
        <v>13</v>
      </c>
      <c r="O8" s="36">
        <v>11874135</v>
      </c>
      <c r="P8" s="42">
        <f t="shared" si="10"/>
        <v>76</v>
      </c>
      <c r="Q8" s="21">
        <f t="shared" si="11"/>
        <v>74224135</v>
      </c>
      <c r="R8" s="21">
        <v>55</v>
      </c>
      <c r="S8" s="21">
        <v>51752585</v>
      </c>
      <c r="T8" s="21">
        <v>21</v>
      </c>
      <c r="U8" s="22">
        <v>22471550</v>
      </c>
      <c r="V8" s="35">
        <f t="shared" si="12"/>
        <v>66</v>
      </c>
      <c r="W8" s="30">
        <f t="shared" si="13"/>
        <v>70331353</v>
      </c>
      <c r="X8" s="30">
        <v>52</v>
      </c>
      <c r="Y8" s="30">
        <v>52827163</v>
      </c>
      <c r="Z8" s="30">
        <v>14</v>
      </c>
      <c r="AA8" s="36">
        <v>17504190</v>
      </c>
      <c r="AB8" s="42">
        <f t="shared" si="14"/>
        <v>69</v>
      </c>
      <c r="AC8" s="21">
        <f t="shared" si="15"/>
        <v>65090700</v>
      </c>
      <c r="AD8" s="21">
        <v>53</v>
      </c>
      <c r="AE8" s="21">
        <v>46868145</v>
      </c>
      <c r="AF8" s="21">
        <v>16</v>
      </c>
      <c r="AG8" s="22">
        <v>18222555</v>
      </c>
      <c r="AH8" s="35">
        <f t="shared" si="16"/>
        <v>95</v>
      </c>
      <c r="AI8" s="30">
        <f t="shared" si="16"/>
        <v>93608525</v>
      </c>
      <c r="AJ8" s="30">
        <v>79</v>
      </c>
      <c r="AK8" s="30">
        <f>74029185+1106280</f>
        <v>75135465</v>
      </c>
      <c r="AL8" s="30">
        <v>16</v>
      </c>
      <c r="AM8" s="36">
        <v>18473060</v>
      </c>
      <c r="AN8" s="42">
        <f t="shared" si="17"/>
        <v>96</v>
      </c>
      <c r="AO8" s="21">
        <f t="shared" si="17"/>
        <v>98084868</v>
      </c>
      <c r="AP8" s="21">
        <v>77</v>
      </c>
      <c r="AQ8" s="21">
        <f>76406428+460950</f>
        <v>76867378</v>
      </c>
      <c r="AR8" s="21">
        <v>19</v>
      </c>
      <c r="AS8" s="22">
        <v>21217490</v>
      </c>
      <c r="AT8" s="5"/>
      <c r="AU8" s="5"/>
      <c r="AV8" s="5"/>
      <c r="AW8" s="5"/>
      <c r="AX8" s="5"/>
    </row>
    <row r="9" spans="1:50" ht="24.6" customHeight="1">
      <c r="A9" s="101"/>
      <c r="B9" s="104"/>
      <c r="C9" s="45" t="s">
        <v>97</v>
      </c>
      <c r="D9" s="81">
        <f t="shared" si="6"/>
        <v>57</v>
      </c>
      <c r="E9" s="82">
        <f t="shared" si="7"/>
        <v>53027080</v>
      </c>
      <c r="F9" s="82">
        <v>48</v>
      </c>
      <c r="G9" s="82">
        <v>42076095</v>
      </c>
      <c r="H9" s="82">
        <v>9</v>
      </c>
      <c r="I9" s="83">
        <v>10950985</v>
      </c>
      <c r="J9" s="35">
        <f t="shared" si="8"/>
        <v>67</v>
      </c>
      <c r="K9" s="30">
        <f t="shared" si="9"/>
        <v>53449765</v>
      </c>
      <c r="L9" s="30">
        <v>52</v>
      </c>
      <c r="M9" s="30">
        <v>39105445</v>
      </c>
      <c r="N9" s="30">
        <v>15</v>
      </c>
      <c r="O9" s="36">
        <v>14344320</v>
      </c>
      <c r="P9" s="42">
        <f t="shared" si="10"/>
        <v>38</v>
      </c>
      <c r="Q9" s="21">
        <f t="shared" si="11"/>
        <v>38988205</v>
      </c>
      <c r="R9" s="21">
        <v>32</v>
      </c>
      <c r="S9" s="21">
        <v>31917190</v>
      </c>
      <c r="T9" s="21">
        <v>6</v>
      </c>
      <c r="U9" s="22">
        <v>7071015</v>
      </c>
      <c r="V9" s="35">
        <f t="shared" si="12"/>
        <v>68</v>
      </c>
      <c r="W9" s="30">
        <f t="shared" si="13"/>
        <v>52849105</v>
      </c>
      <c r="X9" s="30">
        <v>54</v>
      </c>
      <c r="Y9" s="30">
        <v>39114145</v>
      </c>
      <c r="Z9" s="30">
        <v>14</v>
      </c>
      <c r="AA9" s="36">
        <v>13734960</v>
      </c>
      <c r="AB9" s="42">
        <f t="shared" si="14"/>
        <v>53</v>
      </c>
      <c r="AC9" s="21">
        <f t="shared" si="15"/>
        <v>53443365</v>
      </c>
      <c r="AD9" s="21">
        <v>44</v>
      </c>
      <c r="AE9" s="21">
        <v>43095865</v>
      </c>
      <c r="AF9" s="21">
        <v>9</v>
      </c>
      <c r="AG9" s="22">
        <v>10347500</v>
      </c>
      <c r="AH9" s="35">
        <f t="shared" si="16"/>
        <v>54</v>
      </c>
      <c r="AI9" s="30">
        <f t="shared" si="16"/>
        <v>50110785</v>
      </c>
      <c r="AJ9" s="30">
        <v>45</v>
      </c>
      <c r="AK9" s="30">
        <v>42622605</v>
      </c>
      <c r="AL9" s="30">
        <v>9</v>
      </c>
      <c r="AM9" s="36">
        <v>7488180</v>
      </c>
      <c r="AN9" s="42">
        <f t="shared" si="17"/>
        <v>58</v>
      </c>
      <c r="AO9" s="21">
        <f t="shared" si="17"/>
        <v>51873965</v>
      </c>
      <c r="AP9" s="21">
        <v>48</v>
      </c>
      <c r="AQ9" s="21">
        <v>40004865</v>
      </c>
      <c r="AR9" s="21">
        <v>10</v>
      </c>
      <c r="AS9" s="22">
        <v>11869100</v>
      </c>
      <c r="AT9" s="5"/>
      <c r="AU9" s="5"/>
      <c r="AV9" s="5"/>
      <c r="AW9" s="5"/>
      <c r="AX9" s="5"/>
    </row>
    <row r="10" spans="1:50" ht="24.6" customHeight="1">
      <c r="A10" s="101"/>
      <c r="B10" s="104"/>
      <c r="C10" s="45" t="s">
        <v>51</v>
      </c>
      <c r="D10" s="81">
        <f t="shared" si="6"/>
        <v>72</v>
      </c>
      <c r="E10" s="82">
        <f t="shared" si="7"/>
        <v>65915259</v>
      </c>
      <c r="F10" s="82">
        <v>63</v>
      </c>
      <c r="G10" s="82">
        <v>57438894</v>
      </c>
      <c r="H10" s="82">
        <v>9</v>
      </c>
      <c r="I10" s="83">
        <v>8476365</v>
      </c>
      <c r="J10" s="35">
        <f t="shared" si="8"/>
        <v>68</v>
      </c>
      <c r="K10" s="30">
        <f t="shared" si="9"/>
        <v>55941260</v>
      </c>
      <c r="L10" s="30">
        <v>51</v>
      </c>
      <c r="M10" s="30">
        <v>38725080</v>
      </c>
      <c r="N10" s="30">
        <v>17</v>
      </c>
      <c r="O10" s="36">
        <v>17216180</v>
      </c>
      <c r="P10" s="42">
        <f t="shared" si="10"/>
        <v>60</v>
      </c>
      <c r="Q10" s="21">
        <f t="shared" si="11"/>
        <v>52227920</v>
      </c>
      <c r="R10" s="21">
        <v>52</v>
      </c>
      <c r="S10" s="21">
        <v>47040235</v>
      </c>
      <c r="T10" s="21">
        <v>8</v>
      </c>
      <c r="U10" s="22">
        <v>5187685</v>
      </c>
      <c r="V10" s="35">
        <f t="shared" si="12"/>
        <v>66</v>
      </c>
      <c r="W10" s="30">
        <f t="shared" si="13"/>
        <v>65604152</v>
      </c>
      <c r="X10" s="30">
        <v>53</v>
      </c>
      <c r="Y10" s="30">
        <v>53854667</v>
      </c>
      <c r="Z10" s="30">
        <v>13</v>
      </c>
      <c r="AA10" s="36">
        <v>11749485</v>
      </c>
      <c r="AB10" s="42">
        <f t="shared" si="14"/>
        <v>58</v>
      </c>
      <c r="AC10" s="21">
        <f t="shared" si="15"/>
        <v>47179540</v>
      </c>
      <c r="AD10" s="21">
        <v>50</v>
      </c>
      <c r="AE10" s="21">
        <v>41524380</v>
      </c>
      <c r="AF10" s="21">
        <v>8</v>
      </c>
      <c r="AG10" s="22">
        <v>5655160</v>
      </c>
      <c r="AH10" s="35">
        <f t="shared" si="16"/>
        <v>55</v>
      </c>
      <c r="AI10" s="30">
        <f t="shared" si="16"/>
        <v>48872380</v>
      </c>
      <c r="AJ10" s="30">
        <v>46</v>
      </c>
      <c r="AK10" s="30">
        <v>40057435</v>
      </c>
      <c r="AL10" s="30">
        <v>9</v>
      </c>
      <c r="AM10" s="36">
        <v>8814945</v>
      </c>
      <c r="AN10" s="42">
        <f t="shared" si="17"/>
        <v>89</v>
      </c>
      <c r="AO10" s="21">
        <f t="shared" si="17"/>
        <v>75614950</v>
      </c>
      <c r="AP10" s="21">
        <v>76</v>
      </c>
      <c r="AQ10" s="21">
        <v>67633155</v>
      </c>
      <c r="AR10" s="21">
        <v>13</v>
      </c>
      <c r="AS10" s="22">
        <v>7981795</v>
      </c>
      <c r="AT10" s="5"/>
      <c r="AU10" s="5"/>
      <c r="AV10" s="5"/>
      <c r="AW10" s="5"/>
      <c r="AX10" s="5"/>
    </row>
    <row r="11" spans="1:50" ht="24.6" customHeight="1">
      <c r="A11" s="101"/>
      <c r="B11" s="104"/>
      <c r="C11" s="45" t="s">
        <v>52</v>
      </c>
      <c r="D11" s="81">
        <f t="shared" si="6"/>
        <v>35</v>
      </c>
      <c r="E11" s="82">
        <f t="shared" si="7"/>
        <v>27849930</v>
      </c>
      <c r="F11" s="82">
        <v>29</v>
      </c>
      <c r="G11" s="82">
        <v>24195070</v>
      </c>
      <c r="H11" s="82">
        <v>6</v>
      </c>
      <c r="I11" s="83">
        <v>3654860</v>
      </c>
      <c r="J11" s="35">
        <f t="shared" si="8"/>
        <v>45</v>
      </c>
      <c r="K11" s="30">
        <f t="shared" si="9"/>
        <v>43369505</v>
      </c>
      <c r="L11" s="30">
        <v>37</v>
      </c>
      <c r="M11" s="30">
        <v>38442050</v>
      </c>
      <c r="N11" s="30">
        <v>8</v>
      </c>
      <c r="O11" s="36">
        <v>4927455</v>
      </c>
      <c r="P11" s="42">
        <f t="shared" si="10"/>
        <v>44</v>
      </c>
      <c r="Q11" s="21">
        <f t="shared" si="11"/>
        <v>48866000</v>
      </c>
      <c r="R11" s="21">
        <v>37</v>
      </c>
      <c r="S11" s="21">
        <v>41457735</v>
      </c>
      <c r="T11" s="21">
        <v>7</v>
      </c>
      <c r="U11" s="22">
        <v>7408265</v>
      </c>
      <c r="V11" s="35">
        <f t="shared" si="12"/>
        <v>47</v>
      </c>
      <c r="W11" s="30">
        <f t="shared" si="13"/>
        <v>43491060</v>
      </c>
      <c r="X11" s="30">
        <v>40</v>
      </c>
      <c r="Y11" s="30">
        <v>33804405</v>
      </c>
      <c r="Z11" s="30">
        <v>7</v>
      </c>
      <c r="AA11" s="36">
        <v>9686655</v>
      </c>
      <c r="AB11" s="42">
        <f t="shared" si="14"/>
        <v>44</v>
      </c>
      <c r="AC11" s="21">
        <f t="shared" si="15"/>
        <v>40679645</v>
      </c>
      <c r="AD11" s="21">
        <v>37</v>
      </c>
      <c r="AE11" s="21">
        <v>33922440</v>
      </c>
      <c r="AF11" s="21">
        <v>7</v>
      </c>
      <c r="AG11" s="22">
        <v>6757205</v>
      </c>
      <c r="AH11" s="35">
        <f t="shared" si="16"/>
        <v>46</v>
      </c>
      <c r="AI11" s="30">
        <f t="shared" si="16"/>
        <v>40131290</v>
      </c>
      <c r="AJ11" s="30">
        <v>39</v>
      </c>
      <c r="AK11" s="30">
        <f>34924300+46620</f>
        <v>34970920</v>
      </c>
      <c r="AL11" s="30">
        <v>7</v>
      </c>
      <c r="AM11" s="36">
        <v>5160370</v>
      </c>
      <c r="AN11" s="42">
        <f t="shared" si="17"/>
        <v>55</v>
      </c>
      <c r="AO11" s="21">
        <f t="shared" si="17"/>
        <v>52319905</v>
      </c>
      <c r="AP11" s="21">
        <v>45</v>
      </c>
      <c r="AQ11" s="21">
        <f>43607740+186480</f>
        <v>43794220</v>
      </c>
      <c r="AR11" s="21">
        <v>10</v>
      </c>
      <c r="AS11" s="22">
        <v>8525685</v>
      </c>
      <c r="AT11" s="5"/>
      <c r="AU11" s="5"/>
      <c r="AV11" s="5"/>
      <c r="AW11" s="5"/>
      <c r="AX11" s="5"/>
    </row>
    <row r="12" spans="1:50" ht="24.6" customHeight="1">
      <c r="A12" s="101"/>
      <c r="B12" s="104"/>
      <c r="C12" s="45" t="s">
        <v>53</v>
      </c>
      <c r="D12" s="81">
        <f t="shared" si="6"/>
        <v>70</v>
      </c>
      <c r="E12" s="82">
        <f t="shared" si="7"/>
        <v>59897411</v>
      </c>
      <c r="F12" s="82">
        <v>57</v>
      </c>
      <c r="G12" s="82">
        <v>45719997</v>
      </c>
      <c r="H12" s="82">
        <v>13</v>
      </c>
      <c r="I12" s="83">
        <v>14177414</v>
      </c>
      <c r="J12" s="35">
        <f t="shared" si="8"/>
        <v>81</v>
      </c>
      <c r="K12" s="30">
        <f t="shared" si="9"/>
        <v>79767434</v>
      </c>
      <c r="L12" s="30">
        <v>67</v>
      </c>
      <c r="M12" s="30">
        <v>68043489</v>
      </c>
      <c r="N12" s="30">
        <v>14</v>
      </c>
      <c r="O12" s="36">
        <v>11723945</v>
      </c>
      <c r="P12" s="42">
        <f t="shared" si="10"/>
        <v>87</v>
      </c>
      <c r="Q12" s="21">
        <f t="shared" si="11"/>
        <v>68602236</v>
      </c>
      <c r="R12" s="21">
        <v>78</v>
      </c>
      <c r="S12" s="21">
        <v>61232421</v>
      </c>
      <c r="T12" s="21">
        <v>9</v>
      </c>
      <c r="U12" s="22">
        <v>7369815</v>
      </c>
      <c r="V12" s="35">
        <f t="shared" si="12"/>
        <v>86</v>
      </c>
      <c r="W12" s="30">
        <f t="shared" si="13"/>
        <v>80659090</v>
      </c>
      <c r="X12" s="30">
        <v>76</v>
      </c>
      <c r="Y12" s="30">
        <v>72151270</v>
      </c>
      <c r="Z12" s="30">
        <v>10</v>
      </c>
      <c r="AA12" s="36">
        <v>8507820</v>
      </c>
      <c r="AB12" s="42">
        <f t="shared" si="14"/>
        <v>78</v>
      </c>
      <c r="AC12" s="21">
        <f t="shared" si="15"/>
        <v>74556613</v>
      </c>
      <c r="AD12" s="21">
        <v>68</v>
      </c>
      <c r="AE12" s="21">
        <v>64687443</v>
      </c>
      <c r="AF12" s="21">
        <v>10</v>
      </c>
      <c r="AG12" s="22">
        <v>9869170</v>
      </c>
      <c r="AH12" s="35">
        <f t="shared" si="16"/>
        <v>87</v>
      </c>
      <c r="AI12" s="30">
        <f t="shared" si="16"/>
        <v>77751989</v>
      </c>
      <c r="AJ12" s="30">
        <v>76</v>
      </c>
      <c r="AK12" s="30">
        <f>65768355+1743634</f>
        <v>67511989</v>
      </c>
      <c r="AL12" s="30">
        <v>11</v>
      </c>
      <c r="AM12" s="36">
        <v>10240000</v>
      </c>
      <c r="AN12" s="42">
        <f t="shared" si="17"/>
        <v>81</v>
      </c>
      <c r="AO12" s="21">
        <f t="shared" si="17"/>
        <v>76638153</v>
      </c>
      <c r="AP12" s="21">
        <f>70+3</f>
        <v>73</v>
      </c>
      <c r="AQ12" s="21">
        <f>68174095+2244553</f>
        <v>70418648</v>
      </c>
      <c r="AR12" s="21">
        <v>8</v>
      </c>
      <c r="AS12" s="22">
        <v>6219505</v>
      </c>
      <c r="AT12" s="5"/>
      <c r="AU12" s="5"/>
      <c r="AV12" s="5"/>
      <c r="AW12" s="5"/>
      <c r="AX12" s="5"/>
    </row>
    <row r="13" spans="1:50" ht="24.6" customHeight="1">
      <c r="A13" s="102"/>
      <c r="B13" s="105"/>
      <c r="C13" s="46" t="s">
        <v>3</v>
      </c>
      <c r="D13" s="84">
        <f t="shared" si="6"/>
        <v>20</v>
      </c>
      <c r="E13" s="85">
        <f t="shared" si="7"/>
        <v>16920865</v>
      </c>
      <c r="F13" s="85">
        <v>18</v>
      </c>
      <c r="G13" s="85">
        <v>13650130</v>
      </c>
      <c r="H13" s="85">
        <v>2</v>
      </c>
      <c r="I13" s="86">
        <v>3270735</v>
      </c>
      <c r="J13" s="37">
        <f t="shared" si="8"/>
        <v>14</v>
      </c>
      <c r="K13" s="31">
        <f t="shared" si="9"/>
        <v>6510555</v>
      </c>
      <c r="L13" s="31">
        <v>13</v>
      </c>
      <c r="M13" s="31">
        <v>6308470</v>
      </c>
      <c r="N13" s="31">
        <v>1</v>
      </c>
      <c r="O13" s="38">
        <v>202085</v>
      </c>
      <c r="P13" s="43">
        <f t="shared" si="10"/>
        <v>20</v>
      </c>
      <c r="Q13" s="19">
        <f t="shared" si="11"/>
        <v>13178905</v>
      </c>
      <c r="R13" s="19">
        <v>20</v>
      </c>
      <c r="S13" s="19">
        <v>13178905</v>
      </c>
      <c r="T13" s="19">
        <v>0</v>
      </c>
      <c r="U13" s="20">
        <v>0</v>
      </c>
      <c r="V13" s="37">
        <f t="shared" si="12"/>
        <v>14</v>
      </c>
      <c r="W13" s="31">
        <f t="shared" si="13"/>
        <v>10064365</v>
      </c>
      <c r="X13" s="31">
        <v>10</v>
      </c>
      <c r="Y13" s="31">
        <v>5150485</v>
      </c>
      <c r="Z13" s="31">
        <v>4</v>
      </c>
      <c r="AA13" s="38">
        <v>4913880</v>
      </c>
      <c r="AB13" s="43">
        <f t="shared" si="14"/>
        <v>15</v>
      </c>
      <c r="AC13" s="19">
        <f t="shared" si="15"/>
        <v>12184815</v>
      </c>
      <c r="AD13" s="19">
        <v>13</v>
      </c>
      <c r="AE13" s="19">
        <v>10334910</v>
      </c>
      <c r="AF13" s="19">
        <v>2</v>
      </c>
      <c r="AG13" s="20">
        <v>1849905</v>
      </c>
      <c r="AH13" s="37">
        <f t="shared" si="16"/>
        <v>10</v>
      </c>
      <c r="AI13" s="31">
        <f t="shared" si="16"/>
        <v>8341884</v>
      </c>
      <c r="AJ13" s="31">
        <v>7</v>
      </c>
      <c r="AK13" s="31">
        <f>3147355+509729</f>
        <v>3657084</v>
      </c>
      <c r="AL13" s="31">
        <v>3</v>
      </c>
      <c r="AM13" s="38">
        <v>4684800</v>
      </c>
      <c r="AN13" s="43">
        <f t="shared" si="17"/>
        <v>15</v>
      </c>
      <c r="AO13" s="19">
        <f t="shared" si="17"/>
        <v>12824837</v>
      </c>
      <c r="AP13" s="19">
        <f>15-1</f>
        <v>14</v>
      </c>
      <c r="AQ13" s="19">
        <f>12676925-62328</f>
        <v>12614597</v>
      </c>
      <c r="AR13" s="19">
        <v>1</v>
      </c>
      <c r="AS13" s="20">
        <v>210240</v>
      </c>
      <c r="AT13" s="5"/>
      <c r="AU13" s="5"/>
      <c r="AV13" s="5"/>
      <c r="AW13" s="5"/>
      <c r="AX13" s="5"/>
    </row>
    <row r="14" spans="1:50" ht="24.6" customHeight="1">
      <c r="A14" s="102"/>
      <c r="B14" s="105"/>
      <c r="C14" s="46" t="s">
        <v>5</v>
      </c>
      <c r="D14" s="84">
        <f t="shared" si="6"/>
        <v>11</v>
      </c>
      <c r="E14" s="85">
        <f t="shared" si="7"/>
        <v>7010505</v>
      </c>
      <c r="F14" s="85">
        <v>7</v>
      </c>
      <c r="G14" s="85">
        <v>3297665</v>
      </c>
      <c r="H14" s="85">
        <v>4</v>
      </c>
      <c r="I14" s="86">
        <v>3712840</v>
      </c>
      <c r="J14" s="37">
        <f t="shared" si="8"/>
        <v>12</v>
      </c>
      <c r="K14" s="31">
        <f t="shared" si="9"/>
        <v>8774493</v>
      </c>
      <c r="L14" s="31">
        <v>8</v>
      </c>
      <c r="M14" s="31">
        <v>7085163</v>
      </c>
      <c r="N14" s="31">
        <v>4</v>
      </c>
      <c r="O14" s="38">
        <v>1689330</v>
      </c>
      <c r="P14" s="43">
        <f t="shared" si="10"/>
        <v>9</v>
      </c>
      <c r="Q14" s="19">
        <f t="shared" si="11"/>
        <v>7695235</v>
      </c>
      <c r="R14" s="19">
        <v>9</v>
      </c>
      <c r="S14" s="19">
        <v>7695235</v>
      </c>
      <c r="T14" s="19">
        <v>0</v>
      </c>
      <c r="U14" s="20">
        <v>0</v>
      </c>
      <c r="V14" s="37">
        <f t="shared" si="12"/>
        <v>9</v>
      </c>
      <c r="W14" s="31">
        <f t="shared" si="13"/>
        <v>9087815</v>
      </c>
      <c r="X14" s="31">
        <v>6</v>
      </c>
      <c r="Y14" s="31">
        <v>5967015</v>
      </c>
      <c r="Z14" s="31">
        <v>3</v>
      </c>
      <c r="AA14" s="38">
        <v>3120800</v>
      </c>
      <c r="AB14" s="43">
        <f t="shared" si="14"/>
        <v>19</v>
      </c>
      <c r="AC14" s="19">
        <f t="shared" si="15"/>
        <v>20833795</v>
      </c>
      <c r="AD14" s="19">
        <v>17</v>
      </c>
      <c r="AE14" s="19">
        <v>17582545</v>
      </c>
      <c r="AF14" s="19">
        <v>2</v>
      </c>
      <c r="AG14" s="20">
        <v>3251250</v>
      </c>
      <c r="AH14" s="37">
        <f t="shared" si="16"/>
        <v>14</v>
      </c>
      <c r="AI14" s="31">
        <f t="shared" si="16"/>
        <v>14735615</v>
      </c>
      <c r="AJ14" s="31">
        <v>12</v>
      </c>
      <c r="AK14" s="31">
        <v>11518115</v>
      </c>
      <c r="AL14" s="31">
        <v>2</v>
      </c>
      <c r="AM14" s="38">
        <v>3217500</v>
      </c>
      <c r="AN14" s="43">
        <f t="shared" si="17"/>
        <v>13</v>
      </c>
      <c r="AO14" s="19">
        <f t="shared" si="17"/>
        <v>13226255</v>
      </c>
      <c r="AP14" s="19">
        <v>9</v>
      </c>
      <c r="AQ14" s="19">
        <v>9403500</v>
      </c>
      <c r="AR14" s="19">
        <v>4</v>
      </c>
      <c r="AS14" s="20">
        <v>3822755</v>
      </c>
      <c r="AT14" s="5"/>
      <c r="AU14" s="5"/>
      <c r="AV14" s="5"/>
      <c r="AW14" s="5"/>
      <c r="AX14" s="5"/>
    </row>
    <row r="15" spans="1:50" ht="24.6" customHeight="1">
      <c r="A15" s="102"/>
      <c r="B15" s="105"/>
      <c r="C15" s="46" t="s">
        <v>6</v>
      </c>
      <c r="D15" s="84">
        <f t="shared" si="6"/>
        <v>5</v>
      </c>
      <c r="E15" s="85">
        <f t="shared" si="7"/>
        <v>5921140</v>
      </c>
      <c r="F15" s="85">
        <v>5</v>
      </c>
      <c r="G15" s="85">
        <v>5921140</v>
      </c>
      <c r="H15" s="85">
        <v>0</v>
      </c>
      <c r="I15" s="86">
        <v>0</v>
      </c>
      <c r="J15" s="37">
        <f t="shared" si="8"/>
        <v>15</v>
      </c>
      <c r="K15" s="31">
        <f t="shared" si="9"/>
        <v>8890415</v>
      </c>
      <c r="L15" s="31">
        <v>12</v>
      </c>
      <c r="M15" s="31">
        <v>8412415</v>
      </c>
      <c r="N15" s="31">
        <v>3</v>
      </c>
      <c r="O15" s="38">
        <v>478000</v>
      </c>
      <c r="P15" s="43">
        <f t="shared" si="10"/>
        <v>13</v>
      </c>
      <c r="Q15" s="19">
        <f t="shared" si="11"/>
        <v>10430720</v>
      </c>
      <c r="R15" s="19">
        <v>11</v>
      </c>
      <c r="S15" s="19">
        <v>9277220</v>
      </c>
      <c r="T15" s="19">
        <v>2</v>
      </c>
      <c r="U15" s="20">
        <v>1153500</v>
      </c>
      <c r="V15" s="37">
        <f t="shared" si="12"/>
        <v>5</v>
      </c>
      <c r="W15" s="31">
        <f t="shared" si="13"/>
        <v>5743375</v>
      </c>
      <c r="X15" s="31">
        <v>3</v>
      </c>
      <c r="Y15" s="31">
        <v>2602375</v>
      </c>
      <c r="Z15" s="31">
        <v>2</v>
      </c>
      <c r="AA15" s="38">
        <v>3141000</v>
      </c>
      <c r="AB15" s="43">
        <f t="shared" si="14"/>
        <v>22</v>
      </c>
      <c r="AC15" s="19">
        <f t="shared" si="15"/>
        <v>20163020</v>
      </c>
      <c r="AD15" s="19">
        <v>18</v>
      </c>
      <c r="AE15" s="19">
        <v>14827430</v>
      </c>
      <c r="AF15" s="19">
        <v>4</v>
      </c>
      <c r="AG15" s="20">
        <v>5335590</v>
      </c>
      <c r="AH15" s="37">
        <f t="shared" si="16"/>
        <v>14</v>
      </c>
      <c r="AI15" s="31">
        <f t="shared" si="16"/>
        <v>12341250</v>
      </c>
      <c r="AJ15" s="31">
        <v>12</v>
      </c>
      <c r="AK15" s="31">
        <v>8646750</v>
      </c>
      <c r="AL15" s="31">
        <v>2</v>
      </c>
      <c r="AM15" s="38">
        <v>3694500</v>
      </c>
      <c r="AN15" s="43">
        <f t="shared" si="17"/>
        <v>14</v>
      </c>
      <c r="AO15" s="19">
        <f t="shared" si="17"/>
        <v>9465595</v>
      </c>
      <c r="AP15" s="19">
        <v>14</v>
      </c>
      <c r="AQ15" s="19">
        <v>9465595</v>
      </c>
      <c r="AR15" s="19">
        <v>0</v>
      </c>
      <c r="AS15" s="20">
        <v>0</v>
      </c>
      <c r="AT15" s="5"/>
      <c r="AU15" s="5"/>
      <c r="AV15" s="5"/>
      <c r="AW15" s="5"/>
      <c r="AX15" s="5"/>
    </row>
    <row r="16" spans="1:50" ht="24.6" customHeight="1">
      <c r="A16" s="102"/>
      <c r="B16" s="105"/>
      <c r="C16" s="46" t="s">
        <v>8</v>
      </c>
      <c r="D16" s="84">
        <f t="shared" si="6"/>
        <v>20</v>
      </c>
      <c r="E16" s="85">
        <f t="shared" si="7"/>
        <v>21685750</v>
      </c>
      <c r="F16" s="85">
        <v>19</v>
      </c>
      <c r="G16" s="85">
        <v>21566750</v>
      </c>
      <c r="H16" s="85">
        <v>1</v>
      </c>
      <c r="I16" s="86">
        <v>119000</v>
      </c>
      <c r="J16" s="37">
        <f t="shared" si="8"/>
        <v>31</v>
      </c>
      <c r="K16" s="31">
        <f t="shared" si="9"/>
        <v>24062230</v>
      </c>
      <c r="L16" s="31">
        <v>26</v>
      </c>
      <c r="M16" s="31">
        <v>18595230</v>
      </c>
      <c r="N16" s="31">
        <v>5</v>
      </c>
      <c r="O16" s="38">
        <v>5467000</v>
      </c>
      <c r="P16" s="43">
        <f t="shared" si="10"/>
        <v>21</v>
      </c>
      <c r="Q16" s="19">
        <f t="shared" si="11"/>
        <v>19903010</v>
      </c>
      <c r="R16" s="19">
        <v>16</v>
      </c>
      <c r="S16" s="19">
        <v>13828760</v>
      </c>
      <c r="T16" s="19">
        <v>5</v>
      </c>
      <c r="U16" s="20">
        <v>6074250</v>
      </c>
      <c r="V16" s="37">
        <f t="shared" si="12"/>
        <v>23</v>
      </c>
      <c r="W16" s="31">
        <f t="shared" si="13"/>
        <v>16919095</v>
      </c>
      <c r="X16" s="31">
        <v>18</v>
      </c>
      <c r="Y16" s="31">
        <v>14501485</v>
      </c>
      <c r="Z16" s="31">
        <v>5</v>
      </c>
      <c r="AA16" s="38">
        <v>2417610</v>
      </c>
      <c r="AB16" s="43">
        <f t="shared" si="14"/>
        <v>27</v>
      </c>
      <c r="AC16" s="19">
        <f t="shared" si="15"/>
        <v>25992780</v>
      </c>
      <c r="AD16" s="19">
        <v>19</v>
      </c>
      <c r="AE16" s="19">
        <v>17833080</v>
      </c>
      <c r="AF16" s="19">
        <v>8</v>
      </c>
      <c r="AG16" s="20">
        <v>8159700</v>
      </c>
      <c r="AH16" s="37">
        <f t="shared" si="16"/>
        <v>31</v>
      </c>
      <c r="AI16" s="31">
        <f t="shared" si="16"/>
        <v>30279195</v>
      </c>
      <c r="AJ16" s="31">
        <v>26</v>
      </c>
      <c r="AK16" s="31">
        <v>23978445</v>
      </c>
      <c r="AL16" s="31">
        <v>5</v>
      </c>
      <c r="AM16" s="38">
        <v>6300750</v>
      </c>
      <c r="AN16" s="43">
        <f t="shared" si="17"/>
        <v>22</v>
      </c>
      <c r="AO16" s="19">
        <f t="shared" si="17"/>
        <v>19682510</v>
      </c>
      <c r="AP16" s="19">
        <v>19</v>
      </c>
      <c r="AQ16" s="19">
        <v>17728440</v>
      </c>
      <c r="AR16" s="19">
        <v>3</v>
      </c>
      <c r="AS16" s="20">
        <v>1954070</v>
      </c>
      <c r="AT16" s="5"/>
      <c r="AU16" s="5"/>
      <c r="AV16" s="5"/>
      <c r="AW16" s="5"/>
      <c r="AX16" s="5"/>
    </row>
    <row r="17" spans="1:50" ht="24.6" customHeight="1">
      <c r="A17" s="102"/>
      <c r="B17" s="105"/>
      <c r="C17" s="46" t="s">
        <v>9</v>
      </c>
      <c r="D17" s="84">
        <f t="shared" si="6"/>
        <v>7</v>
      </c>
      <c r="E17" s="85">
        <f t="shared" si="7"/>
        <v>7359500</v>
      </c>
      <c r="F17" s="85">
        <v>4</v>
      </c>
      <c r="G17" s="85">
        <v>4083500</v>
      </c>
      <c r="H17" s="85">
        <v>3</v>
      </c>
      <c r="I17" s="86">
        <v>3276000</v>
      </c>
      <c r="J17" s="37">
        <f t="shared" si="8"/>
        <v>7</v>
      </c>
      <c r="K17" s="31">
        <f t="shared" si="9"/>
        <v>5857750</v>
      </c>
      <c r="L17" s="31">
        <v>4</v>
      </c>
      <c r="M17" s="31">
        <v>1861750</v>
      </c>
      <c r="N17" s="31">
        <v>3</v>
      </c>
      <c r="O17" s="38">
        <v>3996000</v>
      </c>
      <c r="P17" s="43">
        <f t="shared" si="10"/>
        <v>10</v>
      </c>
      <c r="Q17" s="19">
        <f t="shared" si="11"/>
        <v>7185420</v>
      </c>
      <c r="R17" s="19">
        <v>8</v>
      </c>
      <c r="S17" s="19">
        <v>5991670</v>
      </c>
      <c r="T17" s="19">
        <v>2</v>
      </c>
      <c r="U17" s="20">
        <v>1193750</v>
      </c>
      <c r="V17" s="37">
        <f t="shared" si="12"/>
        <v>2</v>
      </c>
      <c r="W17" s="31">
        <f t="shared" si="13"/>
        <v>1112285</v>
      </c>
      <c r="X17" s="31">
        <v>2</v>
      </c>
      <c r="Y17" s="31">
        <v>1112285</v>
      </c>
      <c r="Z17" s="31">
        <v>0</v>
      </c>
      <c r="AA17" s="38">
        <v>0</v>
      </c>
      <c r="AB17" s="43">
        <f t="shared" si="14"/>
        <v>6</v>
      </c>
      <c r="AC17" s="19">
        <f t="shared" si="15"/>
        <v>4303490</v>
      </c>
      <c r="AD17" s="19">
        <v>6</v>
      </c>
      <c r="AE17" s="19">
        <v>4303490</v>
      </c>
      <c r="AF17" s="19">
        <v>0</v>
      </c>
      <c r="AG17" s="20">
        <v>0</v>
      </c>
      <c r="AH17" s="37">
        <f t="shared" si="16"/>
        <v>7</v>
      </c>
      <c r="AI17" s="31">
        <f t="shared" si="16"/>
        <v>6245565</v>
      </c>
      <c r="AJ17" s="31">
        <v>5</v>
      </c>
      <c r="AK17" s="31">
        <v>4155485</v>
      </c>
      <c r="AL17" s="31">
        <v>2</v>
      </c>
      <c r="AM17" s="38">
        <v>2090080</v>
      </c>
      <c r="AN17" s="43">
        <f t="shared" si="17"/>
        <v>8</v>
      </c>
      <c r="AO17" s="19">
        <f t="shared" si="17"/>
        <v>6316375</v>
      </c>
      <c r="AP17" s="19">
        <v>8</v>
      </c>
      <c r="AQ17" s="19">
        <v>6316375</v>
      </c>
      <c r="AR17" s="19">
        <v>0</v>
      </c>
      <c r="AS17" s="20">
        <v>0</v>
      </c>
      <c r="AT17" s="5"/>
      <c r="AU17" s="5"/>
      <c r="AV17" s="5"/>
      <c r="AW17" s="5"/>
      <c r="AX17" s="5"/>
    </row>
    <row r="18" spans="1:50" ht="24.6" customHeight="1">
      <c r="A18" s="102"/>
      <c r="B18" s="105"/>
      <c r="C18" s="46" t="s">
        <v>10</v>
      </c>
      <c r="D18" s="84">
        <f t="shared" si="6"/>
        <v>15</v>
      </c>
      <c r="E18" s="85">
        <f t="shared" si="7"/>
        <v>14196265</v>
      </c>
      <c r="F18" s="85">
        <v>11</v>
      </c>
      <c r="G18" s="85">
        <v>11256000</v>
      </c>
      <c r="H18" s="85">
        <v>4</v>
      </c>
      <c r="I18" s="86">
        <v>2940265</v>
      </c>
      <c r="J18" s="37">
        <f t="shared" si="8"/>
        <v>9</v>
      </c>
      <c r="K18" s="31">
        <f t="shared" si="9"/>
        <v>9691525</v>
      </c>
      <c r="L18" s="31">
        <v>8</v>
      </c>
      <c r="M18" s="31">
        <v>8157025</v>
      </c>
      <c r="N18" s="31">
        <v>1</v>
      </c>
      <c r="O18" s="38">
        <v>1534500</v>
      </c>
      <c r="P18" s="43">
        <f t="shared" si="10"/>
        <v>17</v>
      </c>
      <c r="Q18" s="19">
        <f t="shared" si="11"/>
        <v>13357820</v>
      </c>
      <c r="R18" s="19">
        <v>11</v>
      </c>
      <c r="S18" s="19">
        <v>10107500</v>
      </c>
      <c r="T18" s="19">
        <v>6</v>
      </c>
      <c r="U18" s="20">
        <v>3250320</v>
      </c>
      <c r="V18" s="37">
        <f t="shared" si="12"/>
        <v>14</v>
      </c>
      <c r="W18" s="31">
        <f t="shared" si="13"/>
        <v>12490815</v>
      </c>
      <c r="X18" s="31">
        <v>12</v>
      </c>
      <c r="Y18" s="31">
        <v>10101315</v>
      </c>
      <c r="Z18" s="31">
        <v>2</v>
      </c>
      <c r="AA18" s="38">
        <v>2389500</v>
      </c>
      <c r="AB18" s="43">
        <f t="shared" si="14"/>
        <v>17</v>
      </c>
      <c r="AC18" s="19">
        <f t="shared" si="15"/>
        <v>14669270</v>
      </c>
      <c r="AD18" s="19">
        <v>14</v>
      </c>
      <c r="AE18" s="19">
        <v>12646295</v>
      </c>
      <c r="AF18" s="19">
        <v>3</v>
      </c>
      <c r="AG18" s="20">
        <v>2022975</v>
      </c>
      <c r="AH18" s="37">
        <f t="shared" si="16"/>
        <v>15</v>
      </c>
      <c r="AI18" s="31">
        <f t="shared" si="16"/>
        <v>14018725</v>
      </c>
      <c r="AJ18" s="31">
        <v>14</v>
      </c>
      <c r="AK18" s="31">
        <v>13918685</v>
      </c>
      <c r="AL18" s="31">
        <v>1</v>
      </c>
      <c r="AM18" s="38">
        <v>100040</v>
      </c>
      <c r="AN18" s="43">
        <f t="shared" si="17"/>
        <v>17</v>
      </c>
      <c r="AO18" s="19">
        <f t="shared" si="17"/>
        <v>14244555</v>
      </c>
      <c r="AP18" s="19">
        <v>14</v>
      </c>
      <c r="AQ18" s="19">
        <v>11933245</v>
      </c>
      <c r="AR18" s="19">
        <v>3</v>
      </c>
      <c r="AS18" s="20">
        <v>2311310</v>
      </c>
      <c r="AT18" s="5"/>
      <c r="AU18" s="5"/>
      <c r="AV18" s="5"/>
      <c r="AW18" s="5"/>
      <c r="AX18" s="5"/>
    </row>
    <row r="19" spans="1:50" ht="24.6" customHeight="1">
      <c r="A19" s="102"/>
      <c r="B19" s="105"/>
      <c r="C19" s="46" t="s">
        <v>11</v>
      </c>
      <c r="D19" s="84">
        <f t="shared" si="6"/>
        <v>8</v>
      </c>
      <c r="E19" s="85">
        <f t="shared" si="7"/>
        <v>8634000</v>
      </c>
      <c r="F19" s="85">
        <v>7</v>
      </c>
      <c r="G19" s="85">
        <v>7524750</v>
      </c>
      <c r="H19" s="85">
        <v>1</v>
      </c>
      <c r="I19" s="86">
        <v>1109250</v>
      </c>
      <c r="J19" s="37">
        <f t="shared" si="8"/>
        <v>11</v>
      </c>
      <c r="K19" s="31">
        <f t="shared" si="9"/>
        <v>6718335</v>
      </c>
      <c r="L19" s="31">
        <v>10</v>
      </c>
      <c r="M19" s="31">
        <v>6487335</v>
      </c>
      <c r="N19" s="31">
        <v>1</v>
      </c>
      <c r="O19" s="38">
        <v>231000</v>
      </c>
      <c r="P19" s="43">
        <f t="shared" si="10"/>
        <v>4</v>
      </c>
      <c r="Q19" s="19">
        <f t="shared" si="11"/>
        <v>4457000</v>
      </c>
      <c r="R19" s="19">
        <v>3</v>
      </c>
      <c r="S19" s="19">
        <v>3059750</v>
      </c>
      <c r="T19" s="19">
        <v>1</v>
      </c>
      <c r="U19" s="20">
        <v>1397250</v>
      </c>
      <c r="V19" s="37">
        <f t="shared" si="12"/>
        <v>16</v>
      </c>
      <c r="W19" s="31">
        <f t="shared" si="13"/>
        <v>14107580</v>
      </c>
      <c r="X19" s="31">
        <v>15</v>
      </c>
      <c r="Y19" s="31">
        <v>12564080</v>
      </c>
      <c r="Z19" s="31">
        <v>1</v>
      </c>
      <c r="AA19" s="38">
        <v>1543500</v>
      </c>
      <c r="AB19" s="43">
        <f t="shared" si="14"/>
        <v>10</v>
      </c>
      <c r="AC19" s="19">
        <f t="shared" si="15"/>
        <v>8545065</v>
      </c>
      <c r="AD19" s="19">
        <v>7</v>
      </c>
      <c r="AE19" s="19">
        <v>5940705</v>
      </c>
      <c r="AF19" s="19">
        <v>3</v>
      </c>
      <c r="AG19" s="20">
        <v>2604360</v>
      </c>
      <c r="AH19" s="37">
        <f t="shared" si="16"/>
        <v>10</v>
      </c>
      <c r="AI19" s="31">
        <f t="shared" si="16"/>
        <v>8620800</v>
      </c>
      <c r="AJ19" s="31">
        <v>9</v>
      </c>
      <c r="AK19" s="31">
        <v>8520760</v>
      </c>
      <c r="AL19" s="31">
        <v>1</v>
      </c>
      <c r="AM19" s="38">
        <v>100040</v>
      </c>
      <c r="AN19" s="43">
        <f t="shared" si="17"/>
        <v>9</v>
      </c>
      <c r="AO19" s="19">
        <f t="shared" si="17"/>
        <v>5432480</v>
      </c>
      <c r="AP19" s="19">
        <v>7</v>
      </c>
      <c r="AQ19" s="19">
        <v>3627995</v>
      </c>
      <c r="AR19" s="19">
        <v>2</v>
      </c>
      <c r="AS19" s="20">
        <v>1804485</v>
      </c>
      <c r="AT19" s="5"/>
      <c r="AU19" s="5"/>
      <c r="AV19" s="5"/>
      <c r="AW19" s="5"/>
      <c r="AX19" s="5"/>
    </row>
    <row r="20" spans="1:50" ht="24.6" customHeight="1">
      <c r="A20" s="102"/>
      <c r="B20" s="105"/>
      <c r="C20" s="46" t="s">
        <v>14</v>
      </c>
      <c r="D20" s="84">
        <f t="shared" si="6"/>
        <v>15</v>
      </c>
      <c r="E20" s="85">
        <f t="shared" si="7"/>
        <v>13721192</v>
      </c>
      <c r="F20" s="85">
        <v>14</v>
      </c>
      <c r="G20" s="85">
        <v>12644207</v>
      </c>
      <c r="H20" s="85">
        <v>1</v>
      </c>
      <c r="I20" s="86">
        <v>1076985</v>
      </c>
      <c r="J20" s="37">
        <f t="shared" si="8"/>
        <v>26</v>
      </c>
      <c r="K20" s="31">
        <f t="shared" si="9"/>
        <v>20129055</v>
      </c>
      <c r="L20" s="31">
        <v>18</v>
      </c>
      <c r="M20" s="31">
        <v>15591735</v>
      </c>
      <c r="N20" s="31">
        <v>8</v>
      </c>
      <c r="O20" s="38">
        <v>4537320</v>
      </c>
      <c r="P20" s="43">
        <f t="shared" si="10"/>
        <v>18</v>
      </c>
      <c r="Q20" s="19">
        <f t="shared" si="11"/>
        <v>19702700</v>
      </c>
      <c r="R20" s="19">
        <v>14</v>
      </c>
      <c r="S20" s="19">
        <v>13843700</v>
      </c>
      <c r="T20" s="19">
        <v>4</v>
      </c>
      <c r="U20" s="20">
        <v>5859000</v>
      </c>
      <c r="V20" s="37">
        <f t="shared" si="12"/>
        <v>23</v>
      </c>
      <c r="W20" s="31">
        <f t="shared" si="13"/>
        <v>18967880</v>
      </c>
      <c r="X20" s="31">
        <v>20</v>
      </c>
      <c r="Y20" s="31">
        <v>17711615</v>
      </c>
      <c r="Z20" s="31">
        <v>3</v>
      </c>
      <c r="AA20" s="38">
        <v>1256265</v>
      </c>
      <c r="AB20" s="43">
        <f t="shared" si="14"/>
        <v>21</v>
      </c>
      <c r="AC20" s="19">
        <f t="shared" si="15"/>
        <v>21827460</v>
      </c>
      <c r="AD20" s="19">
        <v>19</v>
      </c>
      <c r="AE20" s="19">
        <v>19554880</v>
      </c>
      <c r="AF20" s="19">
        <v>2</v>
      </c>
      <c r="AG20" s="20">
        <v>2272580</v>
      </c>
      <c r="AH20" s="37">
        <f t="shared" si="16"/>
        <v>20</v>
      </c>
      <c r="AI20" s="31">
        <f t="shared" si="16"/>
        <v>18569975</v>
      </c>
      <c r="AJ20" s="31">
        <v>20</v>
      </c>
      <c r="AK20" s="31">
        <f>15978785+2591190</f>
        <v>18569975</v>
      </c>
      <c r="AL20" s="31">
        <v>0</v>
      </c>
      <c r="AM20" s="38">
        <v>0</v>
      </c>
      <c r="AN20" s="43">
        <f t="shared" si="17"/>
        <v>13</v>
      </c>
      <c r="AO20" s="19">
        <f t="shared" si="17"/>
        <v>14857320</v>
      </c>
      <c r="AP20" s="19">
        <f>10+1</f>
        <v>11</v>
      </c>
      <c r="AQ20" s="19">
        <f>10027535+3191580</f>
        <v>13219115</v>
      </c>
      <c r="AR20" s="19">
        <v>2</v>
      </c>
      <c r="AS20" s="20">
        <v>1638205</v>
      </c>
      <c r="AT20" s="5"/>
      <c r="AU20" s="5"/>
      <c r="AV20" s="5"/>
      <c r="AW20" s="5"/>
      <c r="AX20" s="5"/>
    </row>
    <row r="21" spans="1:50" ht="24.6" customHeight="1">
      <c r="A21" s="102"/>
      <c r="B21" s="105"/>
      <c r="C21" s="46" t="s">
        <v>15</v>
      </c>
      <c r="D21" s="84">
        <f t="shared" si="6"/>
        <v>5</v>
      </c>
      <c r="E21" s="85">
        <f t="shared" si="7"/>
        <v>2563160</v>
      </c>
      <c r="F21" s="85">
        <v>5</v>
      </c>
      <c r="G21" s="85">
        <v>2563160</v>
      </c>
      <c r="H21" s="85">
        <v>0</v>
      </c>
      <c r="I21" s="86">
        <v>0</v>
      </c>
      <c r="J21" s="37">
        <f t="shared" si="8"/>
        <v>4</v>
      </c>
      <c r="K21" s="31">
        <f t="shared" si="9"/>
        <v>3744105</v>
      </c>
      <c r="L21" s="31">
        <v>3</v>
      </c>
      <c r="M21" s="31">
        <v>3627440</v>
      </c>
      <c r="N21" s="31">
        <v>1</v>
      </c>
      <c r="O21" s="38">
        <v>116665</v>
      </c>
      <c r="P21" s="43">
        <f t="shared" si="10"/>
        <v>5</v>
      </c>
      <c r="Q21" s="19">
        <f t="shared" si="11"/>
        <v>4253470</v>
      </c>
      <c r="R21" s="19">
        <v>4</v>
      </c>
      <c r="S21" s="19">
        <v>3011470</v>
      </c>
      <c r="T21" s="19">
        <v>1</v>
      </c>
      <c r="U21" s="20">
        <v>1242000</v>
      </c>
      <c r="V21" s="37">
        <f t="shared" si="12"/>
        <v>5</v>
      </c>
      <c r="W21" s="31">
        <f t="shared" si="13"/>
        <v>4001175</v>
      </c>
      <c r="X21" s="31">
        <v>3</v>
      </c>
      <c r="Y21" s="31">
        <v>2821420</v>
      </c>
      <c r="Z21" s="31">
        <v>2</v>
      </c>
      <c r="AA21" s="38">
        <v>1179755</v>
      </c>
      <c r="AB21" s="43">
        <f t="shared" si="14"/>
        <v>5</v>
      </c>
      <c r="AC21" s="19">
        <f t="shared" si="15"/>
        <v>4423205</v>
      </c>
      <c r="AD21" s="19">
        <v>5</v>
      </c>
      <c r="AE21" s="19">
        <v>4423205</v>
      </c>
      <c r="AF21" s="19">
        <v>0</v>
      </c>
      <c r="AG21" s="20">
        <v>0</v>
      </c>
      <c r="AH21" s="37">
        <f t="shared" si="16"/>
        <v>-1</v>
      </c>
      <c r="AI21" s="31">
        <f t="shared" si="16"/>
        <v>201300</v>
      </c>
      <c r="AJ21" s="31">
        <v>-1</v>
      </c>
      <c r="AK21" s="31">
        <f>-151500+352800</f>
        <v>201300</v>
      </c>
      <c r="AL21" s="31">
        <v>0</v>
      </c>
      <c r="AM21" s="38">
        <v>0</v>
      </c>
      <c r="AN21" s="43">
        <f t="shared" si="17"/>
        <v>8</v>
      </c>
      <c r="AO21" s="19">
        <f t="shared" si="17"/>
        <v>6443080</v>
      </c>
      <c r="AP21" s="19">
        <v>8</v>
      </c>
      <c r="AQ21" s="19">
        <f>6090280+352800</f>
        <v>6443080</v>
      </c>
      <c r="AR21" s="19">
        <v>0</v>
      </c>
      <c r="AS21" s="20">
        <v>0</v>
      </c>
      <c r="AT21" s="5"/>
      <c r="AU21" s="5"/>
      <c r="AV21" s="5"/>
      <c r="AW21" s="5"/>
      <c r="AX21" s="5"/>
    </row>
    <row r="22" spans="1:50" ht="24.6" customHeight="1">
      <c r="A22" s="102"/>
      <c r="B22" s="105"/>
      <c r="C22" s="46" t="s">
        <v>16</v>
      </c>
      <c r="D22" s="84">
        <f t="shared" si="6"/>
        <v>5</v>
      </c>
      <c r="E22" s="85">
        <f t="shared" si="7"/>
        <v>2282420</v>
      </c>
      <c r="F22" s="85">
        <v>4</v>
      </c>
      <c r="G22" s="85">
        <v>2006420</v>
      </c>
      <c r="H22" s="85">
        <v>1</v>
      </c>
      <c r="I22" s="86">
        <v>276000</v>
      </c>
      <c r="J22" s="37">
        <f t="shared" si="8"/>
        <v>7</v>
      </c>
      <c r="K22" s="31">
        <f t="shared" si="9"/>
        <v>7118245</v>
      </c>
      <c r="L22" s="31">
        <v>6</v>
      </c>
      <c r="M22" s="31">
        <v>5228245</v>
      </c>
      <c r="N22" s="31">
        <v>1</v>
      </c>
      <c r="O22" s="38">
        <v>1890000</v>
      </c>
      <c r="P22" s="43">
        <f t="shared" si="10"/>
        <v>5</v>
      </c>
      <c r="Q22" s="19">
        <f t="shared" si="11"/>
        <v>4843415</v>
      </c>
      <c r="R22" s="19">
        <v>4</v>
      </c>
      <c r="S22" s="19">
        <v>2782415</v>
      </c>
      <c r="T22" s="19">
        <v>1</v>
      </c>
      <c r="U22" s="20">
        <v>2061000</v>
      </c>
      <c r="V22" s="37">
        <f t="shared" si="12"/>
        <v>7</v>
      </c>
      <c r="W22" s="31">
        <f t="shared" si="13"/>
        <v>7376125</v>
      </c>
      <c r="X22" s="31">
        <v>6</v>
      </c>
      <c r="Y22" s="31">
        <v>7271080</v>
      </c>
      <c r="Z22" s="31">
        <v>1</v>
      </c>
      <c r="AA22" s="38">
        <v>105045</v>
      </c>
      <c r="AB22" s="43">
        <f t="shared" si="14"/>
        <v>9</v>
      </c>
      <c r="AC22" s="19">
        <f t="shared" si="15"/>
        <v>11818580</v>
      </c>
      <c r="AD22" s="19">
        <v>8</v>
      </c>
      <c r="AE22" s="19">
        <v>11618500</v>
      </c>
      <c r="AF22" s="19">
        <v>1</v>
      </c>
      <c r="AG22" s="20">
        <v>200080</v>
      </c>
      <c r="AH22" s="37">
        <f t="shared" si="16"/>
        <v>10</v>
      </c>
      <c r="AI22" s="31">
        <f t="shared" si="16"/>
        <v>10727645</v>
      </c>
      <c r="AJ22" s="31">
        <v>8</v>
      </c>
      <c r="AK22" s="31">
        <v>8581145</v>
      </c>
      <c r="AL22" s="31">
        <v>2</v>
      </c>
      <c r="AM22" s="38">
        <v>2146500</v>
      </c>
      <c r="AN22" s="43">
        <f t="shared" si="17"/>
        <v>7</v>
      </c>
      <c r="AO22" s="19">
        <f t="shared" si="17"/>
        <v>5896555</v>
      </c>
      <c r="AP22" s="19">
        <v>7</v>
      </c>
      <c r="AQ22" s="19">
        <v>5896555</v>
      </c>
      <c r="AR22" s="19">
        <v>0</v>
      </c>
      <c r="AS22" s="20">
        <v>0</v>
      </c>
      <c r="AT22" s="5"/>
      <c r="AU22" s="5"/>
      <c r="AV22" s="5"/>
      <c r="AW22" s="5"/>
      <c r="AX22" s="5"/>
    </row>
    <row r="23" spans="1:50" ht="24.6" customHeight="1">
      <c r="A23" s="102"/>
      <c r="B23" s="105"/>
      <c r="C23" s="46" t="s">
        <v>17</v>
      </c>
      <c r="D23" s="84">
        <f t="shared" si="6"/>
        <v>4</v>
      </c>
      <c r="E23" s="85">
        <f t="shared" si="7"/>
        <v>3775944</v>
      </c>
      <c r="F23" s="85">
        <v>3</v>
      </c>
      <c r="G23" s="85">
        <v>3565944</v>
      </c>
      <c r="H23" s="85">
        <v>1</v>
      </c>
      <c r="I23" s="86">
        <v>210000</v>
      </c>
      <c r="J23" s="37">
        <f t="shared" si="8"/>
        <v>0</v>
      </c>
      <c r="K23" s="31">
        <f t="shared" si="9"/>
        <v>446635</v>
      </c>
      <c r="L23" s="31">
        <v>0</v>
      </c>
      <c r="M23" s="31">
        <v>446635</v>
      </c>
      <c r="N23" s="31">
        <v>0</v>
      </c>
      <c r="O23" s="38">
        <v>0</v>
      </c>
      <c r="P23" s="43">
        <f t="shared" si="10"/>
        <v>3</v>
      </c>
      <c r="Q23" s="19">
        <f t="shared" si="11"/>
        <v>3147601</v>
      </c>
      <c r="R23" s="19">
        <v>1</v>
      </c>
      <c r="S23" s="19">
        <v>1593101</v>
      </c>
      <c r="T23" s="19">
        <v>2</v>
      </c>
      <c r="U23" s="20">
        <v>1554500</v>
      </c>
      <c r="V23" s="37">
        <f t="shared" si="12"/>
        <v>4</v>
      </c>
      <c r="W23" s="31">
        <f t="shared" si="13"/>
        <v>5426512</v>
      </c>
      <c r="X23" s="31">
        <v>3</v>
      </c>
      <c r="Y23" s="31">
        <v>4436512</v>
      </c>
      <c r="Z23" s="31">
        <v>1</v>
      </c>
      <c r="AA23" s="38">
        <v>990000</v>
      </c>
      <c r="AB23" s="43">
        <f t="shared" si="14"/>
        <v>5</v>
      </c>
      <c r="AC23" s="19">
        <f t="shared" si="15"/>
        <v>7032173</v>
      </c>
      <c r="AD23" s="19">
        <v>5</v>
      </c>
      <c r="AE23" s="19">
        <v>7032173</v>
      </c>
      <c r="AF23" s="19">
        <v>0</v>
      </c>
      <c r="AG23" s="20">
        <v>0</v>
      </c>
      <c r="AH23" s="37">
        <f t="shared" si="16"/>
        <v>1</v>
      </c>
      <c r="AI23" s="31">
        <f t="shared" si="16"/>
        <v>2150374</v>
      </c>
      <c r="AJ23" s="31">
        <v>1</v>
      </c>
      <c r="AK23" s="31">
        <f>1296000+854374</f>
        <v>2150374</v>
      </c>
      <c r="AL23" s="31">
        <v>0</v>
      </c>
      <c r="AM23" s="38">
        <v>0</v>
      </c>
      <c r="AN23" s="43">
        <f t="shared" si="17"/>
        <v>6</v>
      </c>
      <c r="AO23" s="19">
        <f t="shared" si="17"/>
        <v>5331771</v>
      </c>
      <c r="AP23" s="19">
        <f>4+2</f>
        <v>6</v>
      </c>
      <c r="AQ23" s="19">
        <f>4215285+1116486</f>
        <v>5331771</v>
      </c>
      <c r="AR23" s="19">
        <v>0</v>
      </c>
      <c r="AS23" s="20">
        <v>0</v>
      </c>
      <c r="AT23" s="5"/>
      <c r="AU23" s="5"/>
      <c r="AV23" s="5"/>
      <c r="AW23" s="5"/>
      <c r="AX23" s="5"/>
    </row>
    <row r="24" spans="1:50" ht="24.6" customHeight="1">
      <c r="A24" s="102"/>
      <c r="B24" s="105"/>
      <c r="C24" s="46" t="s">
        <v>18</v>
      </c>
      <c r="D24" s="84">
        <f t="shared" si="6"/>
        <v>5</v>
      </c>
      <c r="E24" s="85">
        <f t="shared" si="7"/>
        <v>4343077</v>
      </c>
      <c r="F24" s="85">
        <v>5</v>
      </c>
      <c r="G24" s="85">
        <v>4343077</v>
      </c>
      <c r="H24" s="85">
        <v>0</v>
      </c>
      <c r="I24" s="86">
        <v>0</v>
      </c>
      <c r="J24" s="37">
        <f t="shared" si="8"/>
        <v>3</v>
      </c>
      <c r="K24" s="31">
        <f t="shared" si="9"/>
        <v>2552500</v>
      </c>
      <c r="L24" s="31">
        <v>3</v>
      </c>
      <c r="M24" s="31">
        <v>2552500</v>
      </c>
      <c r="N24" s="31">
        <v>0</v>
      </c>
      <c r="O24" s="38">
        <v>0</v>
      </c>
      <c r="P24" s="43">
        <f t="shared" si="10"/>
        <v>8</v>
      </c>
      <c r="Q24" s="19">
        <f t="shared" si="11"/>
        <v>10280298</v>
      </c>
      <c r="R24" s="19">
        <v>8</v>
      </c>
      <c r="S24" s="19">
        <v>10280298</v>
      </c>
      <c r="T24" s="19">
        <v>0</v>
      </c>
      <c r="U24" s="20">
        <v>0</v>
      </c>
      <c r="V24" s="37">
        <f t="shared" si="12"/>
        <v>11</v>
      </c>
      <c r="W24" s="31">
        <f t="shared" si="13"/>
        <v>11375115</v>
      </c>
      <c r="X24" s="31">
        <v>8</v>
      </c>
      <c r="Y24" s="31">
        <v>7251540</v>
      </c>
      <c r="Z24" s="31">
        <v>3</v>
      </c>
      <c r="AA24" s="38">
        <v>4123575</v>
      </c>
      <c r="AB24" s="43">
        <f t="shared" si="14"/>
        <v>4</v>
      </c>
      <c r="AC24" s="19">
        <f t="shared" si="15"/>
        <v>3425975</v>
      </c>
      <c r="AD24" s="19">
        <v>3</v>
      </c>
      <c r="AE24" s="19">
        <v>2183975</v>
      </c>
      <c r="AF24" s="19">
        <v>1</v>
      </c>
      <c r="AG24" s="20">
        <v>1242000</v>
      </c>
      <c r="AH24" s="37">
        <f t="shared" si="16"/>
        <v>11</v>
      </c>
      <c r="AI24" s="31">
        <f t="shared" si="16"/>
        <v>8471210</v>
      </c>
      <c r="AJ24" s="31">
        <v>9</v>
      </c>
      <c r="AK24" s="31">
        <v>6490850</v>
      </c>
      <c r="AL24" s="31">
        <v>2</v>
      </c>
      <c r="AM24" s="38">
        <v>1980360</v>
      </c>
      <c r="AN24" s="43">
        <f t="shared" si="17"/>
        <v>6</v>
      </c>
      <c r="AO24" s="19">
        <f t="shared" si="17"/>
        <v>5862155</v>
      </c>
      <c r="AP24" s="19">
        <v>5</v>
      </c>
      <c r="AQ24" s="19">
        <v>5094155</v>
      </c>
      <c r="AR24" s="19">
        <v>1</v>
      </c>
      <c r="AS24" s="20">
        <v>768000</v>
      </c>
      <c r="AT24" s="5"/>
      <c r="AU24" s="5"/>
      <c r="AV24" s="5"/>
      <c r="AW24" s="5"/>
      <c r="AX24" s="5"/>
    </row>
    <row r="25" spans="1:50" ht="24.6" customHeight="1">
      <c r="A25" s="102"/>
      <c r="B25" s="105"/>
      <c r="C25" s="46" t="s">
        <v>19</v>
      </c>
      <c r="D25" s="84">
        <f t="shared" si="6"/>
        <v>12</v>
      </c>
      <c r="E25" s="85">
        <f t="shared" si="7"/>
        <v>9176000</v>
      </c>
      <c r="F25" s="85">
        <v>9</v>
      </c>
      <c r="G25" s="85">
        <v>6325015</v>
      </c>
      <c r="H25" s="85">
        <v>3</v>
      </c>
      <c r="I25" s="86">
        <v>2850985</v>
      </c>
      <c r="J25" s="37">
        <f t="shared" si="8"/>
        <v>11</v>
      </c>
      <c r="K25" s="31">
        <f t="shared" si="9"/>
        <v>8570250</v>
      </c>
      <c r="L25" s="31">
        <v>10</v>
      </c>
      <c r="M25" s="31">
        <v>7071750</v>
      </c>
      <c r="N25" s="31">
        <v>1</v>
      </c>
      <c r="O25" s="38">
        <v>1498500</v>
      </c>
      <c r="P25" s="43">
        <f t="shared" si="10"/>
        <v>11</v>
      </c>
      <c r="Q25" s="19">
        <f t="shared" si="11"/>
        <v>9565950</v>
      </c>
      <c r="R25" s="19">
        <v>10</v>
      </c>
      <c r="S25" s="19">
        <v>8134950</v>
      </c>
      <c r="T25" s="19">
        <v>1</v>
      </c>
      <c r="U25" s="20">
        <v>1431000</v>
      </c>
      <c r="V25" s="37">
        <f t="shared" si="12"/>
        <v>17</v>
      </c>
      <c r="W25" s="31">
        <f t="shared" si="13"/>
        <v>20061845</v>
      </c>
      <c r="X25" s="31">
        <v>12</v>
      </c>
      <c r="Y25" s="31">
        <v>13968785</v>
      </c>
      <c r="Z25" s="31">
        <v>5</v>
      </c>
      <c r="AA25" s="38">
        <v>6093060</v>
      </c>
      <c r="AB25" s="43">
        <f t="shared" si="14"/>
        <v>9</v>
      </c>
      <c r="AC25" s="19">
        <f t="shared" si="15"/>
        <v>5190385</v>
      </c>
      <c r="AD25" s="19">
        <v>7</v>
      </c>
      <c r="AE25" s="19">
        <v>3114385</v>
      </c>
      <c r="AF25" s="19">
        <v>2</v>
      </c>
      <c r="AG25" s="20">
        <v>2076000</v>
      </c>
      <c r="AH25" s="37">
        <f t="shared" si="16"/>
        <v>13</v>
      </c>
      <c r="AI25" s="31">
        <f t="shared" si="16"/>
        <v>14937330</v>
      </c>
      <c r="AJ25" s="31">
        <v>11</v>
      </c>
      <c r="AK25" s="31">
        <v>13203330</v>
      </c>
      <c r="AL25" s="31">
        <v>2</v>
      </c>
      <c r="AM25" s="38">
        <v>1734000</v>
      </c>
      <c r="AN25" s="43">
        <f t="shared" si="17"/>
        <v>9</v>
      </c>
      <c r="AO25" s="19">
        <f t="shared" si="17"/>
        <v>6534870</v>
      </c>
      <c r="AP25" s="19">
        <v>8</v>
      </c>
      <c r="AQ25" s="19">
        <v>6315870</v>
      </c>
      <c r="AR25" s="19">
        <v>1</v>
      </c>
      <c r="AS25" s="20">
        <v>219000</v>
      </c>
      <c r="AT25" s="5"/>
      <c r="AU25" s="5"/>
      <c r="AV25" s="5"/>
      <c r="AW25" s="5"/>
      <c r="AX25" s="5"/>
    </row>
    <row r="26" spans="1:50" ht="24.6" customHeight="1">
      <c r="A26" s="102"/>
      <c r="B26" s="105"/>
      <c r="C26" s="46" t="s">
        <v>21</v>
      </c>
      <c r="D26" s="84">
        <f t="shared" si="6"/>
        <v>10</v>
      </c>
      <c r="E26" s="85">
        <f t="shared" si="7"/>
        <v>10108330</v>
      </c>
      <c r="F26" s="85">
        <v>6</v>
      </c>
      <c r="G26" s="85">
        <v>5884750</v>
      </c>
      <c r="H26" s="85">
        <v>4</v>
      </c>
      <c r="I26" s="86">
        <v>4223580</v>
      </c>
      <c r="J26" s="37">
        <f t="shared" si="8"/>
        <v>6</v>
      </c>
      <c r="K26" s="31">
        <f t="shared" si="9"/>
        <v>5677485</v>
      </c>
      <c r="L26" s="31">
        <v>6</v>
      </c>
      <c r="M26" s="31">
        <v>5677485</v>
      </c>
      <c r="N26" s="31">
        <v>0</v>
      </c>
      <c r="O26" s="38">
        <v>0</v>
      </c>
      <c r="P26" s="43">
        <f t="shared" si="10"/>
        <v>8</v>
      </c>
      <c r="Q26" s="19">
        <f t="shared" si="11"/>
        <v>9458400</v>
      </c>
      <c r="R26" s="19">
        <v>7</v>
      </c>
      <c r="S26" s="19">
        <v>8137650</v>
      </c>
      <c r="T26" s="19">
        <v>1</v>
      </c>
      <c r="U26" s="20">
        <v>1320750</v>
      </c>
      <c r="V26" s="37">
        <f t="shared" si="12"/>
        <v>7</v>
      </c>
      <c r="W26" s="31">
        <f t="shared" si="13"/>
        <v>7699610</v>
      </c>
      <c r="X26" s="31">
        <v>6</v>
      </c>
      <c r="Y26" s="31">
        <v>6709610</v>
      </c>
      <c r="Z26" s="31">
        <v>1</v>
      </c>
      <c r="AA26" s="38">
        <v>990000</v>
      </c>
      <c r="AB26" s="43">
        <f t="shared" si="14"/>
        <v>9</v>
      </c>
      <c r="AC26" s="19">
        <f t="shared" si="15"/>
        <v>6229400</v>
      </c>
      <c r="AD26" s="19">
        <v>7</v>
      </c>
      <c r="AE26" s="19">
        <v>3620345</v>
      </c>
      <c r="AF26" s="19">
        <v>2</v>
      </c>
      <c r="AG26" s="20">
        <v>2609055</v>
      </c>
      <c r="AH26" s="37">
        <f t="shared" si="16"/>
        <v>8</v>
      </c>
      <c r="AI26" s="31">
        <f t="shared" si="16"/>
        <v>5482580</v>
      </c>
      <c r="AJ26" s="31">
        <v>7</v>
      </c>
      <c r="AK26" s="31">
        <v>4294130</v>
      </c>
      <c r="AL26" s="31">
        <v>1</v>
      </c>
      <c r="AM26" s="38">
        <v>1188450</v>
      </c>
      <c r="AN26" s="43">
        <f t="shared" si="17"/>
        <v>9</v>
      </c>
      <c r="AO26" s="19">
        <f t="shared" si="17"/>
        <v>9797440</v>
      </c>
      <c r="AP26" s="19">
        <v>8</v>
      </c>
      <c r="AQ26" s="19">
        <v>8931235</v>
      </c>
      <c r="AR26" s="19">
        <v>1</v>
      </c>
      <c r="AS26" s="20">
        <v>866205</v>
      </c>
      <c r="AT26" s="5"/>
      <c r="AU26" s="5"/>
      <c r="AV26" s="5"/>
      <c r="AW26" s="5"/>
      <c r="AX26" s="5"/>
    </row>
    <row r="27" spans="1:50" ht="24.6" customHeight="1">
      <c r="A27" s="102"/>
      <c r="B27" s="105"/>
      <c r="C27" s="46" t="s">
        <v>23</v>
      </c>
      <c r="D27" s="84">
        <f t="shared" si="6"/>
        <v>2</v>
      </c>
      <c r="E27" s="85">
        <f t="shared" si="7"/>
        <v>1601500</v>
      </c>
      <c r="F27" s="85">
        <v>2</v>
      </c>
      <c r="G27" s="85">
        <v>1601500</v>
      </c>
      <c r="H27" s="85">
        <v>0</v>
      </c>
      <c r="I27" s="86">
        <v>0</v>
      </c>
      <c r="J27" s="37">
        <f t="shared" si="8"/>
        <v>2</v>
      </c>
      <c r="K27" s="31">
        <f t="shared" si="9"/>
        <v>2208030</v>
      </c>
      <c r="L27" s="31">
        <v>0</v>
      </c>
      <c r="M27" s="31">
        <v>0</v>
      </c>
      <c r="N27" s="31">
        <v>2</v>
      </c>
      <c r="O27" s="38">
        <v>2208030</v>
      </c>
      <c r="P27" s="43">
        <f t="shared" si="10"/>
        <v>4</v>
      </c>
      <c r="Q27" s="19">
        <f t="shared" si="11"/>
        <v>2999020</v>
      </c>
      <c r="R27" s="19">
        <v>4</v>
      </c>
      <c r="S27" s="19">
        <v>2261500</v>
      </c>
      <c r="T27" s="19">
        <v>0</v>
      </c>
      <c r="U27" s="20">
        <v>737520</v>
      </c>
      <c r="V27" s="37">
        <f t="shared" si="12"/>
        <v>2</v>
      </c>
      <c r="W27" s="31">
        <f t="shared" si="13"/>
        <v>494720</v>
      </c>
      <c r="X27" s="31">
        <v>2</v>
      </c>
      <c r="Y27" s="31">
        <v>494720</v>
      </c>
      <c r="Z27" s="31">
        <v>0</v>
      </c>
      <c r="AA27" s="38">
        <v>0</v>
      </c>
      <c r="AB27" s="43">
        <f t="shared" si="14"/>
        <v>2</v>
      </c>
      <c r="AC27" s="19">
        <f t="shared" si="15"/>
        <v>2570825</v>
      </c>
      <c r="AD27" s="19">
        <v>2</v>
      </c>
      <c r="AE27" s="19">
        <v>1833305</v>
      </c>
      <c r="AF27" s="19">
        <v>0</v>
      </c>
      <c r="AG27" s="20">
        <v>737520</v>
      </c>
      <c r="AH27" s="37">
        <f t="shared" si="16"/>
        <v>1</v>
      </c>
      <c r="AI27" s="31">
        <f t="shared" si="16"/>
        <v>904500</v>
      </c>
      <c r="AJ27" s="31">
        <v>1</v>
      </c>
      <c r="AK27" s="31">
        <v>904500</v>
      </c>
      <c r="AL27" s="31">
        <v>0</v>
      </c>
      <c r="AM27" s="38">
        <v>0</v>
      </c>
      <c r="AN27" s="43">
        <f t="shared" si="17"/>
        <v>3</v>
      </c>
      <c r="AO27" s="19">
        <f t="shared" si="17"/>
        <v>3565290</v>
      </c>
      <c r="AP27" s="19">
        <v>2</v>
      </c>
      <c r="AQ27" s="19">
        <v>3473100</v>
      </c>
      <c r="AR27" s="19">
        <f>0+1</f>
        <v>1</v>
      </c>
      <c r="AS27" s="23">
        <f>0+92190</f>
        <v>92190</v>
      </c>
      <c r="AT27" s="5"/>
      <c r="AU27" s="5"/>
      <c r="AV27" s="5"/>
      <c r="AW27" s="5"/>
      <c r="AX27" s="5"/>
    </row>
    <row r="28" spans="1:50" ht="24.6" customHeight="1">
      <c r="A28" s="102"/>
      <c r="B28" s="105"/>
      <c r="C28" s="46" t="s">
        <v>24</v>
      </c>
      <c r="D28" s="84">
        <f t="shared" si="6"/>
        <v>0</v>
      </c>
      <c r="E28" s="85">
        <f t="shared" si="7"/>
        <v>0</v>
      </c>
      <c r="F28" s="85">
        <v>0</v>
      </c>
      <c r="G28" s="85">
        <v>0</v>
      </c>
      <c r="H28" s="85">
        <v>0</v>
      </c>
      <c r="I28" s="86">
        <v>0</v>
      </c>
      <c r="J28" s="37">
        <f t="shared" si="8"/>
        <v>0</v>
      </c>
      <c r="K28" s="31">
        <f t="shared" si="9"/>
        <v>0</v>
      </c>
      <c r="L28" s="31">
        <v>0</v>
      </c>
      <c r="M28" s="31">
        <v>0</v>
      </c>
      <c r="N28" s="31">
        <v>0</v>
      </c>
      <c r="O28" s="38">
        <v>0</v>
      </c>
      <c r="P28" s="43">
        <f t="shared" si="10"/>
        <v>0</v>
      </c>
      <c r="Q28" s="19">
        <f t="shared" si="11"/>
        <v>0</v>
      </c>
      <c r="R28" s="19">
        <v>0</v>
      </c>
      <c r="S28" s="19">
        <v>0</v>
      </c>
      <c r="T28" s="19">
        <v>0</v>
      </c>
      <c r="U28" s="20">
        <v>0</v>
      </c>
      <c r="V28" s="37">
        <f t="shared" si="12"/>
        <v>0</v>
      </c>
      <c r="W28" s="31">
        <f t="shared" si="13"/>
        <v>0</v>
      </c>
      <c r="X28" s="31">
        <v>0</v>
      </c>
      <c r="Y28" s="31">
        <v>0</v>
      </c>
      <c r="Z28" s="31">
        <v>0</v>
      </c>
      <c r="AA28" s="38">
        <v>0</v>
      </c>
      <c r="AB28" s="43">
        <f t="shared" si="14"/>
        <v>0</v>
      </c>
      <c r="AC28" s="19">
        <f t="shared" si="15"/>
        <v>0</v>
      </c>
      <c r="AD28" s="19">
        <v>0</v>
      </c>
      <c r="AE28" s="19">
        <v>0</v>
      </c>
      <c r="AF28" s="19">
        <v>0</v>
      </c>
      <c r="AG28" s="20">
        <v>0</v>
      </c>
      <c r="AH28" s="37">
        <f t="shared" si="16"/>
        <v>1</v>
      </c>
      <c r="AI28" s="31">
        <f t="shared" si="16"/>
        <v>191000</v>
      </c>
      <c r="AJ28" s="31">
        <v>1</v>
      </c>
      <c r="AK28" s="31">
        <v>191000</v>
      </c>
      <c r="AL28" s="31">
        <v>0</v>
      </c>
      <c r="AM28" s="38">
        <v>0</v>
      </c>
      <c r="AN28" s="43">
        <f t="shared" si="17"/>
        <v>0</v>
      </c>
      <c r="AO28" s="19">
        <f t="shared" si="17"/>
        <v>0</v>
      </c>
      <c r="AP28" s="19">
        <v>0</v>
      </c>
      <c r="AQ28" s="19">
        <v>0</v>
      </c>
      <c r="AR28" s="19">
        <v>0</v>
      </c>
      <c r="AS28" s="23">
        <v>0</v>
      </c>
      <c r="AT28" s="5"/>
      <c r="AU28" s="5"/>
      <c r="AV28" s="5"/>
      <c r="AW28" s="5"/>
      <c r="AX28" s="5"/>
    </row>
    <row r="29" spans="1:50" ht="28.9" customHeight="1">
      <c r="A29" s="101" t="s">
        <v>114</v>
      </c>
      <c r="B29" s="103" t="s">
        <v>99</v>
      </c>
      <c r="C29" s="45" t="s">
        <v>1</v>
      </c>
      <c r="D29" s="81">
        <f t="shared" ref="D29:E29" si="18">SUM(D30:D41)</f>
        <v>510</v>
      </c>
      <c r="E29" s="82">
        <f t="shared" si="18"/>
        <v>460165149</v>
      </c>
      <c r="F29" s="82">
        <f>SUM(F30:F41)</f>
        <v>417</v>
      </c>
      <c r="G29" s="82">
        <f>SUM(G30:G41)</f>
        <v>368026063</v>
      </c>
      <c r="H29" s="82">
        <f>SUM(H30:H41)</f>
        <v>93</v>
      </c>
      <c r="I29" s="83">
        <f>SUM(I30:I41)</f>
        <v>92139086</v>
      </c>
      <c r="J29" s="35">
        <f t="shared" ref="J29:K29" si="19">SUM(J30:J41)</f>
        <v>553</v>
      </c>
      <c r="K29" s="30">
        <f t="shared" si="19"/>
        <v>479503597</v>
      </c>
      <c r="L29" s="30">
        <f>SUM(L30:L41)</f>
        <v>443</v>
      </c>
      <c r="M29" s="30">
        <f>SUM(M30:M41)</f>
        <v>384352082</v>
      </c>
      <c r="N29" s="30">
        <f>SUM(N30:N41)</f>
        <v>110</v>
      </c>
      <c r="O29" s="36">
        <f>SUM(O30:O41)</f>
        <v>95151515</v>
      </c>
      <c r="P29" s="42">
        <f t="shared" ref="P29:U29" si="20">SUM(P30:P41)</f>
        <v>506</v>
      </c>
      <c r="Q29" s="21">
        <f t="shared" si="20"/>
        <v>460931939</v>
      </c>
      <c r="R29" s="21">
        <f t="shared" si="20"/>
        <v>425</v>
      </c>
      <c r="S29" s="21">
        <f t="shared" si="20"/>
        <v>381079869</v>
      </c>
      <c r="T29" s="21">
        <f t="shared" si="20"/>
        <v>81</v>
      </c>
      <c r="U29" s="22">
        <f t="shared" si="20"/>
        <v>79852070</v>
      </c>
      <c r="V29" s="35">
        <f t="shared" ref="V29:AA29" si="21">SUM(V30:V41)</f>
        <v>571</v>
      </c>
      <c r="W29" s="30">
        <f t="shared" si="21"/>
        <v>536856397</v>
      </c>
      <c r="X29" s="30">
        <f t="shared" si="21"/>
        <v>462</v>
      </c>
      <c r="Y29" s="30">
        <f t="shared" si="21"/>
        <v>427514747</v>
      </c>
      <c r="Z29" s="30">
        <f t="shared" si="21"/>
        <v>109</v>
      </c>
      <c r="AA29" s="36">
        <f t="shared" si="21"/>
        <v>109341650</v>
      </c>
      <c r="AB29" s="42">
        <f t="shared" ref="AB29:AG29" si="22">SUM(AB30:AB41)</f>
        <v>547</v>
      </c>
      <c r="AC29" s="21">
        <f t="shared" si="22"/>
        <v>514163521</v>
      </c>
      <c r="AD29" s="21">
        <f t="shared" si="22"/>
        <v>457</v>
      </c>
      <c r="AE29" s="21">
        <f t="shared" si="22"/>
        <v>417851066</v>
      </c>
      <c r="AF29" s="21">
        <f t="shared" si="22"/>
        <v>90</v>
      </c>
      <c r="AG29" s="22">
        <f t="shared" si="22"/>
        <v>96312455</v>
      </c>
      <c r="AH29" s="35">
        <f t="shared" ref="AH29:AM29" si="23">SUM(AH30:AH41)</f>
        <v>573</v>
      </c>
      <c r="AI29" s="30">
        <f t="shared" si="23"/>
        <v>536059130</v>
      </c>
      <c r="AJ29" s="30">
        <f t="shared" si="23"/>
        <v>486</v>
      </c>
      <c r="AK29" s="30">
        <f t="shared" si="23"/>
        <v>447384235</v>
      </c>
      <c r="AL29" s="30">
        <f t="shared" si="23"/>
        <v>87</v>
      </c>
      <c r="AM29" s="36">
        <f t="shared" si="23"/>
        <v>88674895</v>
      </c>
      <c r="AN29" s="42">
        <f t="shared" ref="AN29:AS29" si="24">SUM(AN30:AN41)</f>
        <v>620</v>
      </c>
      <c r="AO29" s="21">
        <f t="shared" si="24"/>
        <v>568599130</v>
      </c>
      <c r="AP29" s="21">
        <f t="shared" si="24"/>
        <v>531</v>
      </c>
      <c r="AQ29" s="21">
        <f t="shared" si="24"/>
        <v>487880095</v>
      </c>
      <c r="AR29" s="21">
        <f t="shared" si="24"/>
        <v>89</v>
      </c>
      <c r="AS29" s="22">
        <f t="shared" si="24"/>
        <v>80719035</v>
      </c>
      <c r="AT29" s="5"/>
      <c r="AU29" s="5"/>
      <c r="AV29" s="5"/>
      <c r="AW29" s="5"/>
      <c r="AX29" s="5"/>
    </row>
    <row r="30" spans="1:50" ht="28.9" customHeight="1">
      <c r="A30" s="106"/>
      <c r="B30" s="107"/>
      <c r="C30" s="46" t="s">
        <v>54</v>
      </c>
      <c r="D30" s="84">
        <f t="shared" ref="D30:D41" si="25">F30+H30</f>
        <v>0</v>
      </c>
      <c r="E30" s="85">
        <f t="shared" ref="E30:E41" si="26">G30+I30</f>
        <v>0</v>
      </c>
      <c r="F30" s="85">
        <v>0</v>
      </c>
      <c r="G30" s="85">
        <v>0</v>
      </c>
      <c r="H30" s="85">
        <v>0</v>
      </c>
      <c r="I30" s="86">
        <v>0</v>
      </c>
      <c r="J30" s="37">
        <f t="shared" ref="J30:J41" si="27">L30+N30</f>
        <v>0</v>
      </c>
      <c r="K30" s="31">
        <f t="shared" ref="K30:K41" si="28">M30+O30</f>
        <v>0</v>
      </c>
      <c r="L30" s="31">
        <v>0</v>
      </c>
      <c r="M30" s="31">
        <v>0</v>
      </c>
      <c r="N30" s="31">
        <v>0</v>
      </c>
      <c r="O30" s="38">
        <v>0</v>
      </c>
      <c r="P30" s="43">
        <f t="shared" ref="P30:P41" si="29">R30+T30</f>
        <v>1</v>
      </c>
      <c r="Q30" s="19">
        <f t="shared" ref="Q30:Q41" si="30">S30+U30</f>
        <v>220000</v>
      </c>
      <c r="R30" s="19">
        <v>1</v>
      </c>
      <c r="S30" s="19">
        <v>220000</v>
      </c>
      <c r="T30" s="19">
        <v>0</v>
      </c>
      <c r="U30" s="20">
        <v>0</v>
      </c>
      <c r="V30" s="37">
        <f t="shared" ref="V30:V41" si="31">X30+Z30</f>
        <v>0</v>
      </c>
      <c r="W30" s="31">
        <f t="shared" ref="W30:W41" si="32">Y30+AA30</f>
        <v>0</v>
      </c>
      <c r="X30" s="31">
        <v>0</v>
      </c>
      <c r="Y30" s="31">
        <v>0</v>
      </c>
      <c r="Z30" s="31">
        <v>0</v>
      </c>
      <c r="AA30" s="38">
        <v>0</v>
      </c>
      <c r="AB30" s="43">
        <f t="shared" ref="AB30:AB41" si="33">AD30+AF30</f>
        <v>0</v>
      </c>
      <c r="AC30" s="19">
        <f t="shared" ref="AC30:AC41" si="34">AE30+AG30</f>
        <v>0</v>
      </c>
      <c r="AD30" s="19">
        <v>0</v>
      </c>
      <c r="AE30" s="19">
        <v>0</v>
      </c>
      <c r="AF30" s="19">
        <v>0</v>
      </c>
      <c r="AG30" s="20">
        <v>0</v>
      </c>
      <c r="AH30" s="37">
        <f t="shared" ref="AH30:AI41" si="35">AJ30+AL30</f>
        <v>0</v>
      </c>
      <c r="AI30" s="31">
        <f t="shared" si="35"/>
        <v>0</v>
      </c>
      <c r="AJ30" s="31">
        <v>0</v>
      </c>
      <c r="AK30" s="31">
        <v>0</v>
      </c>
      <c r="AL30" s="31">
        <v>0</v>
      </c>
      <c r="AM30" s="38">
        <v>0</v>
      </c>
      <c r="AN30" s="43">
        <f t="shared" ref="AN30:AO41" si="36">AP30+AR30</f>
        <v>0</v>
      </c>
      <c r="AO30" s="19">
        <f t="shared" si="36"/>
        <v>0</v>
      </c>
      <c r="AP30" s="19">
        <v>0</v>
      </c>
      <c r="AQ30" s="19">
        <v>0</v>
      </c>
      <c r="AR30" s="19">
        <v>0</v>
      </c>
      <c r="AS30" s="20">
        <v>0</v>
      </c>
      <c r="AT30" s="5"/>
      <c r="AU30" s="5"/>
      <c r="AV30" s="5"/>
      <c r="AW30" s="5"/>
      <c r="AX30" s="5"/>
    </row>
    <row r="31" spans="1:50" ht="28.9" customHeight="1">
      <c r="A31" s="106"/>
      <c r="B31" s="107"/>
      <c r="C31" s="47" t="s">
        <v>34</v>
      </c>
      <c r="D31" s="84">
        <f t="shared" si="25"/>
        <v>8</v>
      </c>
      <c r="E31" s="85">
        <f t="shared" si="26"/>
        <v>1465800</v>
      </c>
      <c r="F31" s="85">
        <v>5</v>
      </c>
      <c r="G31" s="85">
        <v>1074710</v>
      </c>
      <c r="H31" s="85">
        <v>3</v>
      </c>
      <c r="I31" s="86">
        <v>391090</v>
      </c>
      <c r="J31" s="37">
        <f t="shared" si="27"/>
        <v>10</v>
      </c>
      <c r="K31" s="31">
        <f t="shared" si="28"/>
        <v>2450440</v>
      </c>
      <c r="L31" s="31">
        <v>9</v>
      </c>
      <c r="M31" s="31">
        <v>2198440</v>
      </c>
      <c r="N31" s="31">
        <v>1</v>
      </c>
      <c r="O31" s="38">
        <v>252000</v>
      </c>
      <c r="P31" s="43">
        <f t="shared" si="29"/>
        <v>15</v>
      </c>
      <c r="Q31" s="19">
        <f t="shared" si="30"/>
        <v>2888300</v>
      </c>
      <c r="R31" s="19">
        <v>12</v>
      </c>
      <c r="S31" s="19">
        <v>2437130</v>
      </c>
      <c r="T31" s="19">
        <v>3</v>
      </c>
      <c r="U31" s="20">
        <v>451170</v>
      </c>
      <c r="V31" s="37">
        <f t="shared" si="31"/>
        <v>9</v>
      </c>
      <c r="W31" s="31">
        <f t="shared" si="32"/>
        <v>1713160</v>
      </c>
      <c r="X31" s="31">
        <v>5</v>
      </c>
      <c r="Y31" s="31">
        <v>801760</v>
      </c>
      <c r="Z31" s="31">
        <v>4</v>
      </c>
      <c r="AA31" s="38">
        <v>911400</v>
      </c>
      <c r="AB31" s="43">
        <f t="shared" si="33"/>
        <v>13</v>
      </c>
      <c r="AC31" s="19">
        <f t="shared" si="34"/>
        <v>2503410</v>
      </c>
      <c r="AD31" s="19">
        <v>12</v>
      </c>
      <c r="AE31" s="19">
        <v>2376410</v>
      </c>
      <c r="AF31" s="19">
        <v>1</v>
      </c>
      <c r="AG31" s="20">
        <v>127000</v>
      </c>
      <c r="AH31" s="37">
        <f t="shared" si="35"/>
        <v>17</v>
      </c>
      <c r="AI31" s="31">
        <f t="shared" si="35"/>
        <v>2664750</v>
      </c>
      <c r="AJ31" s="31">
        <v>13</v>
      </c>
      <c r="AK31" s="31">
        <v>2112990</v>
      </c>
      <c r="AL31" s="31">
        <v>4</v>
      </c>
      <c r="AM31" s="38">
        <v>551760</v>
      </c>
      <c r="AN31" s="43">
        <f t="shared" si="36"/>
        <v>18</v>
      </c>
      <c r="AO31" s="19">
        <f t="shared" si="36"/>
        <v>3187320</v>
      </c>
      <c r="AP31" s="19">
        <v>13</v>
      </c>
      <c r="AQ31" s="19">
        <v>2396320</v>
      </c>
      <c r="AR31" s="19">
        <v>5</v>
      </c>
      <c r="AS31" s="20">
        <v>791000</v>
      </c>
      <c r="AT31" s="5"/>
      <c r="AU31" s="5"/>
      <c r="AV31" s="5"/>
      <c r="AW31" s="5"/>
      <c r="AX31" s="5"/>
    </row>
    <row r="32" spans="1:50" ht="28.9" customHeight="1">
      <c r="A32" s="106"/>
      <c r="B32" s="107"/>
      <c r="C32" s="47" t="s">
        <v>35</v>
      </c>
      <c r="D32" s="84">
        <f t="shared" si="25"/>
        <v>47</v>
      </c>
      <c r="E32" s="85">
        <f t="shared" si="26"/>
        <v>11426890</v>
      </c>
      <c r="F32" s="85">
        <v>39</v>
      </c>
      <c r="G32" s="85">
        <v>9434330</v>
      </c>
      <c r="H32" s="85">
        <v>8</v>
      </c>
      <c r="I32" s="86">
        <v>1992560</v>
      </c>
      <c r="J32" s="37">
        <f t="shared" si="27"/>
        <v>69</v>
      </c>
      <c r="K32" s="31">
        <f t="shared" si="28"/>
        <v>15356770</v>
      </c>
      <c r="L32" s="31">
        <v>52</v>
      </c>
      <c r="M32" s="31">
        <v>11885735</v>
      </c>
      <c r="N32" s="31">
        <v>17</v>
      </c>
      <c r="O32" s="38">
        <v>3471035</v>
      </c>
      <c r="P32" s="43">
        <f t="shared" si="29"/>
        <v>46</v>
      </c>
      <c r="Q32" s="19">
        <f t="shared" si="30"/>
        <v>10740840</v>
      </c>
      <c r="R32" s="19">
        <v>34</v>
      </c>
      <c r="S32" s="19">
        <v>7807810</v>
      </c>
      <c r="T32" s="19">
        <v>12</v>
      </c>
      <c r="U32" s="20">
        <v>2933030</v>
      </c>
      <c r="V32" s="37">
        <f t="shared" si="31"/>
        <v>54</v>
      </c>
      <c r="W32" s="31">
        <f t="shared" si="32"/>
        <v>11555350</v>
      </c>
      <c r="X32" s="31">
        <v>40</v>
      </c>
      <c r="Y32" s="31">
        <v>8945465</v>
      </c>
      <c r="Z32" s="31">
        <v>14</v>
      </c>
      <c r="AA32" s="38">
        <v>2609885</v>
      </c>
      <c r="AB32" s="43">
        <f t="shared" si="33"/>
        <v>54</v>
      </c>
      <c r="AC32" s="19">
        <f t="shared" si="34"/>
        <v>10837305</v>
      </c>
      <c r="AD32" s="19">
        <v>40</v>
      </c>
      <c r="AE32" s="19">
        <v>7776845</v>
      </c>
      <c r="AF32" s="19">
        <v>14</v>
      </c>
      <c r="AG32" s="20">
        <v>3060460</v>
      </c>
      <c r="AH32" s="37">
        <f t="shared" si="35"/>
        <v>49</v>
      </c>
      <c r="AI32" s="31">
        <f t="shared" si="35"/>
        <v>15295450</v>
      </c>
      <c r="AJ32" s="31">
        <v>40</v>
      </c>
      <c r="AK32" s="31">
        <f>11682320+469980</f>
        <v>12152300</v>
      </c>
      <c r="AL32" s="31">
        <v>9</v>
      </c>
      <c r="AM32" s="38">
        <v>3143150</v>
      </c>
      <c r="AN32" s="43">
        <f t="shared" si="36"/>
        <v>50</v>
      </c>
      <c r="AO32" s="19">
        <f t="shared" si="36"/>
        <v>14964970</v>
      </c>
      <c r="AP32" s="19">
        <v>42</v>
      </c>
      <c r="AQ32" s="19">
        <f>12713170+696780</f>
        <v>13409950</v>
      </c>
      <c r="AR32" s="19">
        <v>8</v>
      </c>
      <c r="AS32" s="20">
        <v>1555020</v>
      </c>
      <c r="AT32" s="5"/>
      <c r="AU32" s="5"/>
      <c r="AV32" s="5"/>
      <c r="AW32" s="5"/>
      <c r="AX32" s="5"/>
    </row>
    <row r="33" spans="1:50" ht="28.9" customHeight="1">
      <c r="A33" s="106"/>
      <c r="B33" s="107"/>
      <c r="C33" s="47" t="s">
        <v>36</v>
      </c>
      <c r="D33" s="84">
        <f t="shared" si="25"/>
        <v>65</v>
      </c>
      <c r="E33" s="85">
        <f t="shared" si="26"/>
        <v>16371295</v>
      </c>
      <c r="F33" s="85">
        <v>52</v>
      </c>
      <c r="G33" s="85">
        <v>13700885</v>
      </c>
      <c r="H33" s="85">
        <v>13</v>
      </c>
      <c r="I33" s="86">
        <v>2670410</v>
      </c>
      <c r="J33" s="37">
        <f t="shared" si="27"/>
        <v>54</v>
      </c>
      <c r="K33" s="31">
        <f t="shared" si="28"/>
        <v>19233600</v>
      </c>
      <c r="L33" s="31">
        <v>39</v>
      </c>
      <c r="M33" s="31">
        <v>16707215</v>
      </c>
      <c r="N33" s="31">
        <v>15</v>
      </c>
      <c r="O33" s="38">
        <v>2526385</v>
      </c>
      <c r="P33" s="43">
        <f t="shared" si="29"/>
        <v>49</v>
      </c>
      <c r="Q33" s="19">
        <f t="shared" si="30"/>
        <v>25000030</v>
      </c>
      <c r="R33" s="19">
        <v>43</v>
      </c>
      <c r="S33" s="19">
        <v>22605530</v>
      </c>
      <c r="T33" s="19">
        <v>6</v>
      </c>
      <c r="U33" s="20">
        <v>2394500</v>
      </c>
      <c r="V33" s="37">
        <f t="shared" si="31"/>
        <v>51</v>
      </c>
      <c r="W33" s="31">
        <f t="shared" si="32"/>
        <v>24393810</v>
      </c>
      <c r="X33" s="31">
        <v>41</v>
      </c>
      <c r="Y33" s="31">
        <v>19398365</v>
      </c>
      <c r="Z33" s="31">
        <v>10</v>
      </c>
      <c r="AA33" s="38">
        <v>4995445</v>
      </c>
      <c r="AB33" s="43">
        <f t="shared" si="33"/>
        <v>57</v>
      </c>
      <c r="AC33" s="19">
        <f t="shared" si="34"/>
        <v>38776183</v>
      </c>
      <c r="AD33" s="19">
        <v>50</v>
      </c>
      <c r="AE33" s="19">
        <v>34453648</v>
      </c>
      <c r="AF33" s="19">
        <v>7</v>
      </c>
      <c r="AG33" s="20">
        <v>4322535</v>
      </c>
      <c r="AH33" s="37">
        <f t="shared" si="35"/>
        <v>55</v>
      </c>
      <c r="AI33" s="31">
        <f t="shared" si="35"/>
        <v>40087532</v>
      </c>
      <c r="AJ33" s="31">
        <v>51</v>
      </c>
      <c r="AK33" s="31">
        <f>36866340+145152</f>
        <v>37011492</v>
      </c>
      <c r="AL33" s="31">
        <v>4</v>
      </c>
      <c r="AM33" s="38">
        <v>3076040</v>
      </c>
      <c r="AN33" s="43">
        <f t="shared" si="36"/>
        <v>53</v>
      </c>
      <c r="AO33" s="19">
        <f t="shared" si="36"/>
        <v>39577547</v>
      </c>
      <c r="AP33" s="19">
        <v>42</v>
      </c>
      <c r="AQ33" s="19">
        <f>31957830+145152</f>
        <v>32102982</v>
      </c>
      <c r="AR33" s="19">
        <v>11</v>
      </c>
      <c r="AS33" s="20">
        <v>7474565</v>
      </c>
      <c r="AT33" s="5"/>
      <c r="AU33" s="5"/>
      <c r="AV33" s="5"/>
      <c r="AW33" s="5"/>
      <c r="AX33" s="5"/>
    </row>
    <row r="34" spans="1:50" ht="28.9" customHeight="1">
      <c r="A34" s="106"/>
      <c r="B34" s="107"/>
      <c r="C34" s="47" t="s">
        <v>37</v>
      </c>
      <c r="D34" s="84">
        <f t="shared" si="25"/>
        <v>38</v>
      </c>
      <c r="E34" s="85">
        <f t="shared" si="26"/>
        <v>29025610</v>
      </c>
      <c r="F34" s="85">
        <v>32</v>
      </c>
      <c r="G34" s="85">
        <v>25160110</v>
      </c>
      <c r="H34" s="85">
        <v>6</v>
      </c>
      <c r="I34" s="86">
        <v>3865500</v>
      </c>
      <c r="J34" s="37">
        <f t="shared" si="27"/>
        <v>42</v>
      </c>
      <c r="K34" s="31">
        <f t="shared" si="28"/>
        <v>39925100</v>
      </c>
      <c r="L34" s="31">
        <v>32</v>
      </c>
      <c r="M34" s="31">
        <v>25026250</v>
      </c>
      <c r="N34" s="31">
        <v>10</v>
      </c>
      <c r="O34" s="38">
        <v>14898850</v>
      </c>
      <c r="P34" s="43">
        <f t="shared" si="29"/>
        <v>44</v>
      </c>
      <c r="Q34" s="19">
        <f t="shared" si="30"/>
        <v>40301965</v>
      </c>
      <c r="R34" s="19">
        <v>36</v>
      </c>
      <c r="S34" s="19">
        <v>35920730</v>
      </c>
      <c r="T34" s="19">
        <v>8</v>
      </c>
      <c r="U34" s="20">
        <v>4381235</v>
      </c>
      <c r="V34" s="37">
        <f t="shared" si="31"/>
        <v>53</v>
      </c>
      <c r="W34" s="31">
        <f t="shared" si="32"/>
        <v>52238115</v>
      </c>
      <c r="X34" s="31">
        <v>45</v>
      </c>
      <c r="Y34" s="31">
        <v>40380885</v>
      </c>
      <c r="Z34" s="31">
        <v>8</v>
      </c>
      <c r="AA34" s="38">
        <v>11857230</v>
      </c>
      <c r="AB34" s="43">
        <f t="shared" si="33"/>
        <v>55</v>
      </c>
      <c r="AC34" s="19">
        <f t="shared" si="34"/>
        <v>57467675</v>
      </c>
      <c r="AD34" s="19">
        <v>47</v>
      </c>
      <c r="AE34" s="19">
        <v>45879230</v>
      </c>
      <c r="AF34" s="19">
        <v>8</v>
      </c>
      <c r="AG34" s="20">
        <v>11588445</v>
      </c>
      <c r="AH34" s="37">
        <f t="shared" si="35"/>
        <v>63</v>
      </c>
      <c r="AI34" s="31">
        <f t="shared" si="35"/>
        <v>59713067</v>
      </c>
      <c r="AJ34" s="31">
        <v>54</v>
      </c>
      <c r="AK34" s="31">
        <f>50077780+690497</f>
        <v>50768277</v>
      </c>
      <c r="AL34" s="31">
        <v>9</v>
      </c>
      <c r="AM34" s="38">
        <v>8944790</v>
      </c>
      <c r="AN34" s="43">
        <f t="shared" si="36"/>
        <v>70</v>
      </c>
      <c r="AO34" s="19">
        <f t="shared" si="36"/>
        <v>66152585</v>
      </c>
      <c r="AP34" s="19">
        <f>61+2</f>
        <v>63</v>
      </c>
      <c r="AQ34" s="19">
        <f>56494180+1158990</f>
        <v>57653170</v>
      </c>
      <c r="AR34" s="19">
        <v>7</v>
      </c>
      <c r="AS34" s="20">
        <v>8499415</v>
      </c>
      <c r="AT34" s="5"/>
      <c r="AU34" s="5"/>
      <c r="AV34" s="5"/>
      <c r="AW34" s="5"/>
      <c r="AX34" s="5"/>
    </row>
    <row r="35" spans="1:50" ht="28.9" customHeight="1">
      <c r="A35" s="106"/>
      <c r="B35" s="107"/>
      <c r="C35" s="47" t="s">
        <v>38</v>
      </c>
      <c r="D35" s="84">
        <f t="shared" si="25"/>
        <v>40</v>
      </c>
      <c r="E35" s="85">
        <f t="shared" si="26"/>
        <v>46254325</v>
      </c>
      <c r="F35" s="85">
        <v>31</v>
      </c>
      <c r="G35" s="85">
        <v>33774440</v>
      </c>
      <c r="H35" s="85">
        <v>9</v>
      </c>
      <c r="I35" s="86">
        <v>12479885</v>
      </c>
      <c r="J35" s="37">
        <f t="shared" si="27"/>
        <v>56</v>
      </c>
      <c r="K35" s="31">
        <f t="shared" si="28"/>
        <v>50799030</v>
      </c>
      <c r="L35" s="31">
        <v>47</v>
      </c>
      <c r="M35" s="31">
        <v>40685780</v>
      </c>
      <c r="N35" s="31">
        <v>9</v>
      </c>
      <c r="O35" s="38">
        <v>10113250</v>
      </c>
      <c r="P35" s="43">
        <f t="shared" si="29"/>
        <v>42</v>
      </c>
      <c r="Q35" s="19">
        <f t="shared" si="30"/>
        <v>45287007</v>
      </c>
      <c r="R35" s="19">
        <v>32</v>
      </c>
      <c r="S35" s="19">
        <v>33949157</v>
      </c>
      <c r="T35" s="19">
        <v>10</v>
      </c>
      <c r="U35" s="20">
        <v>11337850</v>
      </c>
      <c r="V35" s="37">
        <f t="shared" si="31"/>
        <v>63</v>
      </c>
      <c r="W35" s="31">
        <f t="shared" si="32"/>
        <v>67629692</v>
      </c>
      <c r="X35" s="31">
        <v>50</v>
      </c>
      <c r="Y35" s="31">
        <v>51589062</v>
      </c>
      <c r="Z35" s="31">
        <v>13</v>
      </c>
      <c r="AA35" s="38">
        <v>16040630</v>
      </c>
      <c r="AB35" s="43">
        <f t="shared" si="33"/>
        <v>46</v>
      </c>
      <c r="AC35" s="19">
        <f t="shared" si="34"/>
        <v>49648242</v>
      </c>
      <c r="AD35" s="19">
        <v>39</v>
      </c>
      <c r="AE35" s="19">
        <v>41599862</v>
      </c>
      <c r="AF35" s="19">
        <v>7</v>
      </c>
      <c r="AG35" s="20">
        <v>8048380</v>
      </c>
      <c r="AH35" s="37">
        <f t="shared" si="35"/>
        <v>57</v>
      </c>
      <c r="AI35" s="31">
        <f t="shared" si="35"/>
        <v>54557061</v>
      </c>
      <c r="AJ35" s="31">
        <v>51</v>
      </c>
      <c r="AK35" s="31">
        <f>48221410+1409281</f>
        <v>49630691</v>
      </c>
      <c r="AL35" s="31">
        <v>6</v>
      </c>
      <c r="AM35" s="38">
        <v>4926370</v>
      </c>
      <c r="AN35" s="43">
        <f t="shared" si="36"/>
        <v>72</v>
      </c>
      <c r="AO35" s="19">
        <f t="shared" si="36"/>
        <v>69211279</v>
      </c>
      <c r="AP35" s="19">
        <v>63</v>
      </c>
      <c r="AQ35" s="19">
        <f>56095065+843919</f>
        <v>56938984</v>
      </c>
      <c r="AR35" s="19">
        <v>9</v>
      </c>
      <c r="AS35" s="20">
        <v>12272295</v>
      </c>
      <c r="AT35" s="5"/>
      <c r="AU35" s="5"/>
      <c r="AV35" s="5"/>
      <c r="AW35" s="5"/>
      <c r="AX35" s="5"/>
    </row>
    <row r="36" spans="1:50" ht="28.9" customHeight="1">
      <c r="A36" s="106"/>
      <c r="B36" s="107"/>
      <c r="C36" s="47" t="s">
        <v>39</v>
      </c>
      <c r="D36" s="84">
        <f t="shared" si="25"/>
        <v>46</v>
      </c>
      <c r="E36" s="85">
        <f t="shared" si="26"/>
        <v>51263617</v>
      </c>
      <c r="F36" s="85">
        <v>40</v>
      </c>
      <c r="G36" s="85">
        <v>43720102</v>
      </c>
      <c r="H36" s="85">
        <v>6</v>
      </c>
      <c r="I36" s="86">
        <v>7543515</v>
      </c>
      <c r="J36" s="37">
        <f t="shared" si="27"/>
        <v>56</v>
      </c>
      <c r="K36" s="31">
        <f t="shared" si="28"/>
        <v>53839540</v>
      </c>
      <c r="L36" s="31">
        <v>46</v>
      </c>
      <c r="M36" s="31">
        <v>44840970</v>
      </c>
      <c r="N36" s="31">
        <v>10</v>
      </c>
      <c r="O36" s="38">
        <v>8998570</v>
      </c>
      <c r="P36" s="43">
        <f t="shared" si="29"/>
        <v>53</v>
      </c>
      <c r="Q36" s="19">
        <f t="shared" si="30"/>
        <v>48348895</v>
      </c>
      <c r="R36" s="19">
        <v>46</v>
      </c>
      <c r="S36" s="19">
        <v>38851160</v>
      </c>
      <c r="T36" s="19">
        <v>7</v>
      </c>
      <c r="U36" s="20">
        <v>9497735</v>
      </c>
      <c r="V36" s="37">
        <f t="shared" si="31"/>
        <v>65</v>
      </c>
      <c r="W36" s="31">
        <f t="shared" si="32"/>
        <v>62095033</v>
      </c>
      <c r="X36" s="31">
        <v>61</v>
      </c>
      <c r="Y36" s="31">
        <v>58329513</v>
      </c>
      <c r="Z36" s="31">
        <v>4</v>
      </c>
      <c r="AA36" s="38">
        <v>3765520</v>
      </c>
      <c r="AB36" s="43">
        <f t="shared" si="33"/>
        <v>56</v>
      </c>
      <c r="AC36" s="19">
        <f t="shared" si="34"/>
        <v>49524819</v>
      </c>
      <c r="AD36" s="19">
        <v>49</v>
      </c>
      <c r="AE36" s="19">
        <v>41965959</v>
      </c>
      <c r="AF36" s="19">
        <v>7</v>
      </c>
      <c r="AG36" s="20">
        <v>7558860</v>
      </c>
      <c r="AH36" s="37">
        <f t="shared" si="35"/>
        <v>63</v>
      </c>
      <c r="AI36" s="31">
        <f t="shared" si="35"/>
        <v>68153647</v>
      </c>
      <c r="AJ36" s="31">
        <v>55</v>
      </c>
      <c r="AK36" s="31">
        <f>54639475+1315062</f>
        <v>55954537</v>
      </c>
      <c r="AL36" s="31">
        <v>8</v>
      </c>
      <c r="AM36" s="38">
        <v>12199110</v>
      </c>
      <c r="AN36" s="43">
        <f t="shared" si="36"/>
        <v>75</v>
      </c>
      <c r="AO36" s="19">
        <f t="shared" si="36"/>
        <v>68731787</v>
      </c>
      <c r="AP36" s="19">
        <f>53+1</f>
        <v>54</v>
      </c>
      <c r="AQ36" s="19">
        <f>47390310+2009952</f>
        <v>49400262</v>
      </c>
      <c r="AR36" s="19">
        <v>21</v>
      </c>
      <c r="AS36" s="20">
        <v>19331525</v>
      </c>
      <c r="AT36" s="5"/>
      <c r="AU36" s="5"/>
      <c r="AV36" s="5"/>
      <c r="AW36" s="5"/>
      <c r="AX36" s="5"/>
    </row>
    <row r="37" spans="1:50" ht="28.9" customHeight="1">
      <c r="A37" s="106"/>
      <c r="B37" s="107"/>
      <c r="C37" s="47" t="s">
        <v>40</v>
      </c>
      <c r="D37" s="84">
        <f t="shared" si="25"/>
        <v>54</v>
      </c>
      <c r="E37" s="85">
        <f t="shared" si="26"/>
        <v>52094231</v>
      </c>
      <c r="F37" s="85">
        <v>50</v>
      </c>
      <c r="G37" s="85">
        <v>45255761</v>
      </c>
      <c r="H37" s="85">
        <v>4</v>
      </c>
      <c r="I37" s="86">
        <v>6838470</v>
      </c>
      <c r="J37" s="37">
        <f t="shared" si="27"/>
        <v>61</v>
      </c>
      <c r="K37" s="31">
        <f t="shared" si="28"/>
        <v>60764270</v>
      </c>
      <c r="L37" s="31">
        <v>48</v>
      </c>
      <c r="M37" s="31">
        <v>45480270</v>
      </c>
      <c r="N37" s="31">
        <v>13</v>
      </c>
      <c r="O37" s="38">
        <v>15284000</v>
      </c>
      <c r="P37" s="43">
        <f t="shared" si="29"/>
        <v>68</v>
      </c>
      <c r="Q37" s="19">
        <f t="shared" si="30"/>
        <v>71180726</v>
      </c>
      <c r="R37" s="19">
        <v>61</v>
      </c>
      <c r="S37" s="19">
        <v>60215711</v>
      </c>
      <c r="T37" s="19">
        <v>7</v>
      </c>
      <c r="U37" s="20">
        <v>10965015</v>
      </c>
      <c r="V37" s="37">
        <f t="shared" si="31"/>
        <v>63</v>
      </c>
      <c r="W37" s="31">
        <f t="shared" si="32"/>
        <v>68957597</v>
      </c>
      <c r="X37" s="31">
        <v>48</v>
      </c>
      <c r="Y37" s="31">
        <v>51422042</v>
      </c>
      <c r="Z37" s="31">
        <v>15</v>
      </c>
      <c r="AA37" s="38">
        <v>17535555</v>
      </c>
      <c r="AB37" s="43">
        <f t="shared" si="33"/>
        <v>66</v>
      </c>
      <c r="AC37" s="19">
        <f t="shared" si="34"/>
        <v>64796925</v>
      </c>
      <c r="AD37" s="19">
        <v>56</v>
      </c>
      <c r="AE37" s="19">
        <v>52507175</v>
      </c>
      <c r="AF37" s="19">
        <v>10</v>
      </c>
      <c r="AG37" s="20">
        <v>12289750</v>
      </c>
      <c r="AH37" s="37">
        <f t="shared" si="35"/>
        <v>57</v>
      </c>
      <c r="AI37" s="31">
        <f t="shared" si="35"/>
        <v>54518875</v>
      </c>
      <c r="AJ37" s="31">
        <v>49</v>
      </c>
      <c r="AK37" s="31">
        <f>42121455+1136170</f>
        <v>43257625</v>
      </c>
      <c r="AL37" s="31">
        <v>8</v>
      </c>
      <c r="AM37" s="38">
        <v>11261250</v>
      </c>
      <c r="AN37" s="43">
        <f t="shared" si="36"/>
        <v>60</v>
      </c>
      <c r="AO37" s="19">
        <f t="shared" si="36"/>
        <v>58720861</v>
      </c>
      <c r="AP37" s="19">
        <f>48+2</f>
        <v>50</v>
      </c>
      <c r="AQ37" s="19">
        <f>47165903+1227888</f>
        <v>48393791</v>
      </c>
      <c r="AR37" s="19">
        <v>10</v>
      </c>
      <c r="AS37" s="20">
        <v>10327070</v>
      </c>
      <c r="AT37" s="5"/>
      <c r="AU37" s="5"/>
      <c r="AV37" s="5"/>
      <c r="AW37" s="5"/>
      <c r="AX37" s="5"/>
    </row>
    <row r="38" spans="1:50" ht="28.9" customHeight="1">
      <c r="A38" s="106"/>
      <c r="B38" s="107"/>
      <c r="C38" s="47" t="s">
        <v>41</v>
      </c>
      <c r="D38" s="84">
        <f t="shared" si="25"/>
        <v>60</v>
      </c>
      <c r="E38" s="85">
        <f t="shared" si="26"/>
        <v>65798425</v>
      </c>
      <c r="F38" s="85">
        <v>50</v>
      </c>
      <c r="G38" s="85">
        <v>52523470</v>
      </c>
      <c r="H38" s="85">
        <v>10</v>
      </c>
      <c r="I38" s="86">
        <v>13274955</v>
      </c>
      <c r="J38" s="37">
        <f t="shared" si="27"/>
        <v>62</v>
      </c>
      <c r="K38" s="31">
        <f t="shared" si="28"/>
        <v>69833121</v>
      </c>
      <c r="L38" s="31">
        <v>47</v>
      </c>
      <c r="M38" s="31">
        <v>51303606</v>
      </c>
      <c r="N38" s="31">
        <v>15</v>
      </c>
      <c r="O38" s="38">
        <v>18529515</v>
      </c>
      <c r="P38" s="43">
        <f t="shared" si="29"/>
        <v>62</v>
      </c>
      <c r="Q38" s="19">
        <f t="shared" si="30"/>
        <v>71215731</v>
      </c>
      <c r="R38" s="19">
        <v>52</v>
      </c>
      <c r="S38" s="19">
        <v>57636761</v>
      </c>
      <c r="T38" s="19">
        <v>10</v>
      </c>
      <c r="U38" s="20">
        <v>13578970</v>
      </c>
      <c r="V38" s="37">
        <f t="shared" si="31"/>
        <v>74</v>
      </c>
      <c r="W38" s="31">
        <f t="shared" si="32"/>
        <v>80603737</v>
      </c>
      <c r="X38" s="31">
        <v>60</v>
      </c>
      <c r="Y38" s="31">
        <v>62585762</v>
      </c>
      <c r="Z38" s="31">
        <v>14</v>
      </c>
      <c r="AA38" s="38">
        <v>18017975</v>
      </c>
      <c r="AB38" s="43">
        <f t="shared" si="33"/>
        <v>84</v>
      </c>
      <c r="AC38" s="19">
        <f t="shared" si="34"/>
        <v>101216067</v>
      </c>
      <c r="AD38" s="19">
        <v>69</v>
      </c>
      <c r="AE38" s="19">
        <v>80538812</v>
      </c>
      <c r="AF38" s="19">
        <v>15</v>
      </c>
      <c r="AG38" s="20">
        <v>20677255</v>
      </c>
      <c r="AH38" s="37">
        <f t="shared" si="35"/>
        <v>81</v>
      </c>
      <c r="AI38" s="31">
        <f t="shared" si="35"/>
        <v>84927086</v>
      </c>
      <c r="AJ38" s="31">
        <v>67</v>
      </c>
      <c r="AK38" s="31">
        <f>68571665+1194816</f>
        <v>69766481</v>
      </c>
      <c r="AL38" s="31">
        <v>14</v>
      </c>
      <c r="AM38" s="38">
        <v>15160605</v>
      </c>
      <c r="AN38" s="43">
        <f t="shared" si="36"/>
        <v>81</v>
      </c>
      <c r="AO38" s="19">
        <f t="shared" si="36"/>
        <v>83342245</v>
      </c>
      <c r="AP38" s="19">
        <v>72</v>
      </c>
      <c r="AQ38" s="19">
        <f>72029770+1565760</f>
        <v>73595530</v>
      </c>
      <c r="AR38" s="19">
        <v>9</v>
      </c>
      <c r="AS38" s="20">
        <v>9746715</v>
      </c>
      <c r="AT38" s="5"/>
      <c r="AU38" s="5"/>
      <c r="AV38" s="5"/>
      <c r="AW38" s="5"/>
      <c r="AX38" s="5"/>
    </row>
    <row r="39" spans="1:50" ht="28.9" customHeight="1">
      <c r="A39" s="106"/>
      <c r="B39" s="107"/>
      <c r="C39" s="47" t="s">
        <v>42</v>
      </c>
      <c r="D39" s="84">
        <f t="shared" si="25"/>
        <v>74</v>
      </c>
      <c r="E39" s="85">
        <f t="shared" si="26"/>
        <v>94426045</v>
      </c>
      <c r="F39" s="85">
        <v>60</v>
      </c>
      <c r="G39" s="85">
        <v>75914560</v>
      </c>
      <c r="H39" s="85">
        <v>14</v>
      </c>
      <c r="I39" s="86">
        <v>18511485</v>
      </c>
      <c r="J39" s="37">
        <f t="shared" si="27"/>
        <v>66</v>
      </c>
      <c r="K39" s="31">
        <f t="shared" si="28"/>
        <v>75597223</v>
      </c>
      <c r="L39" s="31">
        <v>58</v>
      </c>
      <c r="M39" s="31">
        <v>68079223</v>
      </c>
      <c r="N39" s="31">
        <v>8</v>
      </c>
      <c r="O39" s="38">
        <v>7518000</v>
      </c>
      <c r="P39" s="43">
        <f t="shared" si="29"/>
        <v>60</v>
      </c>
      <c r="Q39" s="19">
        <f t="shared" si="30"/>
        <v>68280640</v>
      </c>
      <c r="R39" s="19">
        <v>51</v>
      </c>
      <c r="S39" s="19">
        <v>57172860</v>
      </c>
      <c r="T39" s="19">
        <v>9</v>
      </c>
      <c r="U39" s="20">
        <v>11107780</v>
      </c>
      <c r="V39" s="37">
        <f t="shared" si="31"/>
        <v>75</v>
      </c>
      <c r="W39" s="31">
        <f t="shared" si="32"/>
        <v>91273645</v>
      </c>
      <c r="X39" s="31">
        <v>62</v>
      </c>
      <c r="Y39" s="31">
        <v>72393830</v>
      </c>
      <c r="Z39" s="31">
        <v>13</v>
      </c>
      <c r="AA39" s="38">
        <v>18879815</v>
      </c>
      <c r="AB39" s="43">
        <f t="shared" si="33"/>
        <v>71</v>
      </c>
      <c r="AC39" s="19">
        <f t="shared" si="34"/>
        <v>93625005</v>
      </c>
      <c r="AD39" s="19">
        <v>57</v>
      </c>
      <c r="AE39" s="19">
        <v>74172675</v>
      </c>
      <c r="AF39" s="19">
        <v>14</v>
      </c>
      <c r="AG39" s="20">
        <v>19452330</v>
      </c>
      <c r="AH39" s="37">
        <f t="shared" si="35"/>
        <v>73</v>
      </c>
      <c r="AI39" s="31">
        <f t="shared" si="35"/>
        <v>88489930</v>
      </c>
      <c r="AJ39" s="31">
        <v>62</v>
      </c>
      <c r="AK39" s="31">
        <f>72344365+1266720</f>
        <v>73611085</v>
      </c>
      <c r="AL39" s="31">
        <v>11</v>
      </c>
      <c r="AM39" s="38">
        <v>14878845</v>
      </c>
      <c r="AN39" s="43">
        <f t="shared" si="36"/>
        <v>71</v>
      </c>
      <c r="AO39" s="19">
        <f t="shared" si="36"/>
        <v>91661390</v>
      </c>
      <c r="AP39" s="19">
        <f>68-1</f>
        <v>67</v>
      </c>
      <c r="AQ39" s="19">
        <f>84988195+160440</f>
        <v>85148635</v>
      </c>
      <c r="AR39" s="19">
        <v>4</v>
      </c>
      <c r="AS39" s="20">
        <v>6512755</v>
      </c>
      <c r="AT39" s="5"/>
      <c r="AU39" s="5"/>
      <c r="AV39" s="5"/>
      <c r="AW39" s="5"/>
      <c r="AX39" s="5"/>
    </row>
    <row r="40" spans="1:50" ht="28.9" customHeight="1">
      <c r="A40" s="106"/>
      <c r="B40" s="107"/>
      <c r="C40" s="47" t="s">
        <v>43</v>
      </c>
      <c r="D40" s="84">
        <f t="shared" si="25"/>
        <v>51</v>
      </c>
      <c r="E40" s="85">
        <f t="shared" si="26"/>
        <v>58149961</v>
      </c>
      <c r="F40" s="85">
        <v>39</v>
      </c>
      <c r="G40" s="85">
        <v>42239425</v>
      </c>
      <c r="H40" s="85">
        <v>12</v>
      </c>
      <c r="I40" s="86">
        <v>15910536</v>
      </c>
      <c r="J40" s="37">
        <f t="shared" si="27"/>
        <v>48</v>
      </c>
      <c r="K40" s="31">
        <f t="shared" si="28"/>
        <v>61277243</v>
      </c>
      <c r="L40" s="31">
        <v>40</v>
      </c>
      <c r="M40" s="31">
        <v>52192853</v>
      </c>
      <c r="N40" s="31">
        <v>8</v>
      </c>
      <c r="O40" s="38">
        <v>9084390</v>
      </c>
      <c r="P40" s="43">
        <f t="shared" si="29"/>
        <v>41</v>
      </c>
      <c r="Q40" s="19">
        <f t="shared" si="30"/>
        <v>49864805</v>
      </c>
      <c r="R40" s="19">
        <v>34</v>
      </c>
      <c r="S40" s="19">
        <v>38174270</v>
      </c>
      <c r="T40" s="19">
        <v>7</v>
      </c>
      <c r="U40" s="20">
        <v>11690535</v>
      </c>
      <c r="V40" s="37">
        <f t="shared" si="31"/>
        <v>53</v>
      </c>
      <c r="W40" s="31">
        <f t="shared" si="32"/>
        <v>65278698</v>
      </c>
      <c r="X40" s="31">
        <v>43</v>
      </c>
      <c r="Y40" s="31">
        <v>53946383</v>
      </c>
      <c r="Z40" s="31">
        <v>10</v>
      </c>
      <c r="AA40" s="38">
        <v>11332315</v>
      </c>
      <c r="AB40" s="43">
        <f t="shared" si="33"/>
        <v>33</v>
      </c>
      <c r="AC40" s="19">
        <f t="shared" si="34"/>
        <v>31665220</v>
      </c>
      <c r="AD40" s="19">
        <v>28</v>
      </c>
      <c r="AE40" s="19">
        <v>24330700</v>
      </c>
      <c r="AF40" s="19">
        <v>5</v>
      </c>
      <c r="AG40" s="20">
        <v>7334520</v>
      </c>
      <c r="AH40" s="37">
        <f t="shared" si="35"/>
        <v>40</v>
      </c>
      <c r="AI40" s="31">
        <f t="shared" si="35"/>
        <v>49998230</v>
      </c>
      <c r="AJ40" s="31">
        <v>28</v>
      </c>
      <c r="AK40" s="31">
        <f>37462815+368760</f>
        <v>37831575</v>
      </c>
      <c r="AL40" s="31">
        <v>12</v>
      </c>
      <c r="AM40" s="38">
        <v>12166655</v>
      </c>
      <c r="AN40" s="43">
        <f t="shared" si="36"/>
        <v>54</v>
      </c>
      <c r="AO40" s="19">
        <f t="shared" si="36"/>
        <v>53411605</v>
      </c>
      <c r="AP40" s="19">
        <f>49+2</f>
        <v>51</v>
      </c>
      <c r="AQ40" s="19">
        <f>51647705+346710</f>
        <v>51994415</v>
      </c>
      <c r="AR40" s="19">
        <f>2+1</f>
        <v>3</v>
      </c>
      <c r="AS40" s="20">
        <f>1325000+92190</f>
        <v>1417190</v>
      </c>
      <c r="AT40" s="5"/>
      <c r="AU40" s="5"/>
      <c r="AV40" s="5"/>
      <c r="AW40" s="5"/>
      <c r="AX40" s="5"/>
    </row>
    <row r="41" spans="1:50" ht="28.9" customHeight="1">
      <c r="A41" s="106"/>
      <c r="B41" s="107"/>
      <c r="C41" s="47" t="s">
        <v>44</v>
      </c>
      <c r="D41" s="84">
        <f t="shared" si="25"/>
        <v>27</v>
      </c>
      <c r="E41" s="85">
        <f t="shared" si="26"/>
        <v>33888950</v>
      </c>
      <c r="F41" s="85">
        <v>19</v>
      </c>
      <c r="G41" s="85">
        <v>25228270</v>
      </c>
      <c r="H41" s="85">
        <v>8</v>
      </c>
      <c r="I41" s="86">
        <v>8660680</v>
      </c>
      <c r="J41" s="37">
        <f t="shared" si="27"/>
        <v>29</v>
      </c>
      <c r="K41" s="31">
        <f t="shared" si="28"/>
        <v>30427260</v>
      </c>
      <c r="L41" s="31">
        <v>25</v>
      </c>
      <c r="M41" s="31">
        <v>25951740</v>
      </c>
      <c r="N41" s="31">
        <v>4</v>
      </c>
      <c r="O41" s="38">
        <v>4475520</v>
      </c>
      <c r="P41" s="43">
        <f t="shared" si="29"/>
        <v>25</v>
      </c>
      <c r="Q41" s="19">
        <f t="shared" si="30"/>
        <v>27603000</v>
      </c>
      <c r="R41" s="19">
        <v>23</v>
      </c>
      <c r="S41" s="19">
        <v>26088750</v>
      </c>
      <c r="T41" s="19">
        <v>2</v>
      </c>
      <c r="U41" s="20">
        <v>1514250</v>
      </c>
      <c r="V41" s="37">
        <f t="shared" si="31"/>
        <v>11</v>
      </c>
      <c r="W41" s="31">
        <f t="shared" si="32"/>
        <v>11117560</v>
      </c>
      <c r="X41" s="31">
        <v>7</v>
      </c>
      <c r="Y41" s="31">
        <v>7721680</v>
      </c>
      <c r="Z41" s="31">
        <v>4</v>
      </c>
      <c r="AA41" s="38">
        <v>3395880</v>
      </c>
      <c r="AB41" s="43">
        <f t="shared" si="33"/>
        <v>12</v>
      </c>
      <c r="AC41" s="19">
        <f t="shared" si="34"/>
        <v>14102670</v>
      </c>
      <c r="AD41" s="19">
        <v>10</v>
      </c>
      <c r="AE41" s="19">
        <v>12249750</v>
      </c>
      <c r="AF41" s="19">
        <v>2</v>
      </c>
      <c r="AG41" s="20">
        <v>1852920</v>
      </c>
      <c r="AH41" s="37">
        <f t="shared" si="35"/>
        <v>18</v>
      </c>
      <c r="AI41" s="31">
        <f t="shared" si="35"/>
        <v>17653502</v>
      </c>
      <c r="AJ41" s="31">
        <v>16</v>
      </c>
      <c r="AK41" s="31">
        <f>15045215+241967</f>
        <v>15287182</v>
      </c>
      <c r="AL41" s="31">
        <v>2</v>
      </c>
      <c r="AM41" s="38">
        <v>2366320</v>
      </c>
      <c r="AN41" s="43">
        <f t="shared" si="36"/>
        <v>16</v>
      </c>
      <c r="AO41" s="19">
        <f t="shared" si="36"/>
        <v>19637541</v>
      </c>
      <c r="AP41" s="19">
        <f>13+1</f>
        <v>14</v>
      </c>
      <c r="AQ41" s="19">
        <f>16754340+91716</f>
        <v>16846056</v>
      </c>
      <c r="AR41" s="19">
        <v>2</v>
      </c>
      <c r="AS41" s="20">
        <v>2791485</v>
      </c>
      <c r="AT41" s="5"/>
      <c r="AU41" s="5"/>
      <c r="AV41" s="5"/>
      <c r="AW41" s="5"/>
      <c r="AX41" s="5"/>
    </row>
    <row r="42" spans="1:50" ht="22.15" customHeight="1">
      <c r="A42" s="101" t="s">
        <v>115</v>
      </c>
      <c r="B42" s="103" t="s">
        <v>100</v>
      </c>
      <c r="C42" s="45" t="s">
        <v>1</v>
      </c>
      <c r="D42" s="81">
        <f t="shared" ref="D42:I42" si="37">SUM(D43:D61)</f>
        <v>510</v>
      </c>
      <c r="E42" s="82">
        <f t="shared" si="37"/>
        <v>460165149</v>
      </c>
      <c r="F42" s="82">
        <f t="shared" si="37"/>
        <v>417</v>
      </c>
      <c r="G42" s="82">
        <f t="shared" si="37"/>
        <v>368026063</v>
      </c>
      <c r="H42" s="82">
        <f t="shared" si="37"/>
        <v>93</v>
      </c>
      <c r="I42" s="83">
        <f t="shared" si="37"/>
        <v>92139086</v>
      </c>
      <c r="J42" s="35">
        <f t="shared" ref="J42:O42" si="38">SUM(J43:J61)</f>
        <v>553</v>
      </c>
      <c r="K42" s="30">
        <f t="shared" si="38"/>
        <v>479503597</v>
      </c>
      <c r="L42" s="30">
        <f t="shared" si="38"/>
        <v>443</v>
      </c>
      <c r="M42" s="30">
        <f t="shared" si="38"/>
        <v>384352082</v>
      </c>
      <c r="N42" s="30">
        <f t="shared" si="38"/>
        <v>110</v>
      </c>
      <c r="O42" s="36">
        <f t="shared" si="38"/>
        <v>95151515</v>
      </c>
      <c r="P42" s="42">
        <f t="shared" ref="P42:U42" si="39">SUM(P43:P61)</f>
        <v>506</v>
      </c>
      <c r="Q42" s="21">
        <f t="shared" si="39"/>
        <v>460931939</v>
      </c>
      <c r="R42" s="21">
        <f t="shared" si="39"/>
        <v>425</v>
      </c>
      <c r="S42" s="21">
        <f t="shared" si="39"/>
        <v>381079869</v>
      </c>
      <c r="T42" s="21">
        <f t="shared" si="39"/>
        <v>81</v>
      </c>
      <c r="U42" s="22">
        <f t="shared" si="39"/>
        <v>79852070</v>
      </c>
      <c r="V42" s="35">
        <f t="shared" ref="V42:AA42" si="40">SUM(V43:V61)</f>
        <v>571</v>
      </c>
      <c r="W42" s="30">
        <f t="shared" si="40"/>
        <v>536856397</v>
      </c>
      <c r="X42" s="30">
        <f t="shared" si="40"/>
        <v>462</v>
      </c>
      <c r="Y42" s="30">
        <f t="shared" si="40"/>
        <v>427514747</v>
      </c>
      <c r="Z42" s="30">
        <f t="shared" si="40"/>
        <v>109</v>
      </c>
      <c r="AA42" s="36">
        <f t="shared" si="40"/>
        <v>109341650</v>
      </c>
      <c r="AB42" s="42">
        <f t="shared" ref="AB42:AG42" si="41">SUM(AB43:AB61)</f>
        <v>547</v>
      </c>
      <c r="AC42" s="21">
        <f t="shared" si="41"/>
        <v>514163521</v>
      </c>
      <c r="AD42" s="21">
        <f t="shared" si="41"/>
        <v>457</v>
      </c>
      <c r="AE42" s="21">
        <f t="shared" si="41"/>
        <v>417851066</v>
      </c>
      <c r="AF42" s="21">
        <f t="shared" si="41"/>
        <v>90</v>
      </c>
      <c r="AG42" s="22">
        <f t="shared" si="41"/>
        <v>96312455</v>
      </c>
      <c r="AH42" s="35">
        <f t="shared" ref="AH42:AM42" si="42">SUM(AH43:AH61)</f>
        <v>573</v>
      </c>
      <c r="AI42" s="30">
        <f t="shared" si="42"/>
        <v>536059130</v>
      </c>
      <c r="AJ42" s="30">
        <f t="shared" si="42"/>
        <v>486</v>
      </c>
      <c r="AK42" s="30">
        <f t="shared" si="42"/>
        <v>447384235</v>
      </c>
      <c r="AL42" s="30">
        <f t="shared" si="42"/>
        <v>87</v>
      </c>
      <c r="AM42" s="36">
        <f t="shared" si="42"/>
        <v>88674895</v>
      </c>
      <c r="AN42" s="42">
        <f t="shared" ref="AN42:AS42" si="43">SUM(AN43:AN61)</f>
        <v>620</v>
      </c>
      <c r="AO42" s="21">
        <f t="shared" si="43"/>
        <v>568599130</v>
      </c>
      <c r="AP42" s="21">
        <f t="shared" si="43"/>
        <v>531</v>
      </c>
      <c r="AQ42" s="21">
        <f t="shared" si="43"/>
        <v>487880095</v>
      </c>
      <c r="AR42" s="21">
        <f t="shared" si="43"/>
        <v>89</v>
      </c>
      <c r="AS42" s="22">
        <f t="shared" si="43"/>
        <v>80719035</v>
      </c>
    </row>
    <row r="43" spans="1:50" ht="33">
      <c r="A43" s="108"/>
      <c r="B43" s="107"/>
      <c r="C43" s="49" t="s">
        <v>101</v>
      </c>
      <c r="D43" s="84">
        <f t="shared" ref="D43:D61" si="44">F43+H43</f>
        <v>30</v>
      </c>
      <c r="E43" s="85">
        <f t="shared" ref="E43:E61" si="45">G43+I43</f>
        <v>28457723</v>
      </c>
      <c r="F43" s="85">
        <v>30</v>
      </c>
      <c r="G43" s="85">
        <v>28457723</v>
      </c>
      <c r="H43" s="85">
        <v>0</v>
      </c>
      <c r="I43" s="86">
        <v>0</v>
      </c>
      <c r="J43" s="37">
        <f t="shared" ref="J43:J61" si="46">L43+N43</f>
        <v>34</v>
      </c>
      <c r="K43" s="31">
        <f t="shared" ref="K43:K61" si="47">M43+O43</f>
        <v>30045157</v>
      </c>
      <c r="L43" s="31">
        <v>30</v>
      </c>
      <c r="M43" s="31">
        <v>25393307</v>
      </c>
      <c r="N43" s="31">
        <v>4</v>
      </c>
      <c r="O43" s="38">
        <v>4651850</v>
      </c>
      <c r="P43" s="43">
        <f t="shared" ref="P43:P61" si="48">R43+T43</f>
        <v>44</v>
      </c>
      <c r="Q43" s="19">
        <f t="shared" ref="Q43:Q61" si="49">S43+U43</f>
        <v>47884044</v>
      </c>
      <c r="R43" s="19">
        <v>39</v>
      </c>
      <c r="S43" s="19">
        <v>42373774</v>
      </c>
      <c r="T43" s="19">
        <v>5</v>
      </c>
      <c r="U43" s="20">
        <v>5510270</v>
      </c>
      <c r="V43" s="37">
        <f t="shared" ref="V43:V61" si="50">X43+Z43</f>
        <v>40</v>
      </c>
      <c r="W43" s="31">
        <f t="shared" ref="W43:W61" si="51">Y43+AA43</f>
        <v>39528722</v>
      </c>
      <c r="X43" s="31">
        <v>37</v>
      </c>
      <c r="Y43" s="31">
        <v>35609222</v>
      </c>
      <c r="Z43" s="31">
        <v>3</v>
      </c>
      <c r="AA43" s="38">
        <v>3919500</v>
      </c>
      <c r="AB43" s="43">
        <f t="shared" ref="AB43:AB61" si="52">AD43+AF43</f>
        <v>46</v>
      </c>
      <c r="AC43" s="19">
        <f t="shared" ref="AC43:AC61" si="53">AE43+AG43</f>
        <v>52337211</v>
      </c>
      <c r="AD43" s="19">
        <v>41</v>
      </c>
      <c r="AE43" s="19">
        <v>44234691</v>
      </c>
      <c r="AF43" s="19">
        <v>5</v>
      </c>
      <c r="AG43" s="20">
        <v>8102520</v>
      </c>
      <c r="AH43" s="37">
        <f t="shared" ref="AH43:AI61" si="54">AJ43+AL43</f>
        <v>36</v>
      </c>
      <c r="AI43" s="31">
        <f t="shared" si="54"/>
        <v>38690500</v>
      </c>
      <c r="AJ43" s="31">
        <v>36</v>
      </c>
      <c r="AK43" s="31">
        <f>31558375+7132125</f>
        <v>38690500</v>
      </c>
      <c r="AL43" s="31">
        <v>0</v>
      </c>
      <c r="AM43" s="38">
        <v>0</v>
      </c>
      <c r="AN43" s="43">
        <f t="shared" ref="AN43:AO61" si="55">AP43+AR43</f>
        <v>53</v>
      </c>
      <c r="AO43" s="19">
        <f t="shared" si="55"/>
        <v>52956647</v>
      </c>
      <c r="AP43" s="19">
        <f>42+6</f>
        <v>48</v>
      </c>
      <c r="AQ43" s="19">
        <f>40572250+7544437</f>
        <v>48116687</v>
      </c>
      <c r="AR43" s="19">
        <f>4+1</f>
        <v>5</v>
      </c>
      <c r="AS43" s="20">
        <f>4747770+92190</f>
        <v>4839960</v>
      </c>
    </row>
    <row r="44" spans="1:50" ht="33">
      <c r="A44" s="108"/>
      <c r="B44" s="107"/>
      <c r="C44" s="49" t="s">
        <v>102</v>
      </c>
      <c r="D44" s="84">
        <f t="shared" si="44"/>
        <v>1</v>
      </c>
      <c r="E44" s="85">
        <f t="shared" si="45"/>
        <v>1633500</v>
      </c>
      <c r="F44" s="85">
        <v>1</v>
      </c>
      <c r="G44" s="85">
        <v>1633500</v>
      </c>
      <c r="H44" s="85">
        <v>0</v>
      </c>
      <c r="I44" s="86">
        <v>0</v>
      </c>
      <c r="J44" s="37">
        <f t="shared" si="46"/>
        <v>1</v>
      </c>
      <c r="K44" s="31">
        <f t="shared" si="47"/>
        <v>1498500</v>
      </c>
      <c r="L44" s="31">
        <v>1</v>
      </c>
      <c r="M44" s="31">
        <v>1498500</v>
      </c>
      <c r="N44" s="31">
        <v>0</v>
      </c>
      <c r="O44" s="38">
        <v>0</v>
      </c>
      <c r="P44" s="43">
        <f t="shared" si="48"/>
        <v>2</v>
      </c>
      <c r="Q44" s="19">
        <f t="shared" si="49"/>
        <v>2251500</v>
      </c>
      <c r="R44" s="19">
        <v>2</v>
      </c>
      <c r="S44" s="19">
        <v>2251500</v>
      </c>
      <c r="T44" s="19">
        <v>0</v>
      </c>
      <c r="U44" s="20">
        <v>0</v>
      </c>
      <c r="V44" s="37">
        <f t="shared" si="50"/>
        <v>1</v>
      </c>
      <c r="W44" s="31">
        <f t="shared" si="51"/>
        <v>2061000</v>
      </c>
      <c r="X44" s="31">
        <v>1</v>
      </c>
      <c r="Y44" s="31">
        <v>2061000</v>
      </c>
      <c r="Z44" s="31">
        <v>0</v>
      </c>
      <c r="AA44" s="38">
        <v>0</v>
      </c>
      <c r="AB44" s="43">
        <f t="shared" si="52"/>
        <v>1</v>
      </c>
      <c r="AC44" s="19">
        <f t="shared" si="53"/>
        <v>1804500</v>
      </c>
      <c r="AD44" s="19">
        <v>1</v>
      </c>
      <c r="AE44" s="19">
        <v>1804500</v>
      </c>
      <c r="AF44" s="19">
        <v>0</v>
      </c>
      <c r="AG44" s="20">
        <v>0</v>
      </c>
      <c r="AH44" s="37">
        <f t="shared" si="54"/>
        <v>2</v>
      </c>
      <c r="AI44" s="31">
        <f t="shared" si="54"/>
        <v>310040</v>
      </c>
      <c r="AJ44" s="31">
        <v>2</v>
      </c>
      <c r="AK44" s="31">
        <v>310040</v>
      </c>
      <c r="AL44" s="31">
        <v>0</v>
      </c>
      <c r="AM44" s="38">
        <v>0</v>
      </c>
      <c r="AN44" s="43">
        <f t="shared" si="55"/>
        <v>3</v>
      </c>
      <c r="AO44" s="19">
        <f t="shared" si="55"/>
        <v>2948490</v>
      </c>
      <c r="AP44" s="19">
        <v>3</v>
      </c>
      <c r="AQ44" s="19">
        <v>2948490</v>
      </c>
      <c r="AR44" s="19">
        <v>0</v>
      </c>
      <c r="AS44" s="20">
        <v>0</v>
      </c>
    </row>
    <row r="45" spans="1:50" ht="22.15" customHeight="1">
      <c r="A45" s="108"/>
      <c r="B45" s="107"/>
      <c r="C45" s="49" t="s">
        <v>57</v>
      </c>
      <c r="D45" s="84">
        <f t="shared" si="44"/>
        <v>145</v>
      </c>
      <c r="E45" s="85">
        <f t="shared" si="45"/>
        <v>132545251</v>
      </c>
      <c r="F45" s="85">
        <v>120</v>
      </c>
      <c r="G45" s="85">
        <v>104002900</v>
      </c>
      <c r="H45" s="85">
        <v>25</v>
      </c>
      <c r="I45" s="86">
        <v>28542351</v>
      </c>
      <c r="J45" s="37">
        <f t="shared" si="46"/>
        <v>149</v>
      </c>
      <c r="K45" s="31">
        <f t="shared" si="47"/>
        <v>133665842</v>
      </c>
      <c r="L45" s="31">
        <v>111</v>
      </c>
      <c r="M45" s="31">
        <v>98537342</v>
      </c>
      <c r="N45" s="31">
        <v>38</v>
      </c>
      <c r="O45" s="38">
        <v>35128500</v>
      </c>
      <c r="P45" s="43">
        <f t="shared" si="48"/>
        <v>142</v>
      </c>
      <c r="Q45" s="19">
        <f t="shared" si="49"/>
        <v>135647387</v>
      </c>
      <c r="R45" s="19">
        <v>120</v>
      </c>
      <c r="S45" s="19">
        <v>112443072</v>
      </c>
      <c r="T45" s="19">
        <v>22</v>
      </c>
      <c r="U45" s="20">
        <v>23204315</v>
      </c>
      <c r="V45" s="37">
        <f t="shared" si="50"/>
        <v>173</v>
      </c>
      <c r="W45" s="31">
        <f t="shared" si="51"/>
        <v>163411300</v>
      </c>
      <c r="X45" s="31">
        <v>133</v>
      </c>
      <c r="Y45" s="31">
        <v>121611340</v>
      </c>
      <c r="Z45" s="31">
        <v>40</v>
      </c>
      <c r="AA45" s="38">
        <v>41799960</v>
      </c>
      <c r="AB45" s="43">
        <f t="shared" si="52"/>
        <v>137</v>
      </c>
      <c r="AC45" s="19">
        <f t="shared" si="53"/>
        <v>123855175</v>
      </c>
      <c r="AD45" s="19">
        <v>118</v>
      </c>
      <c r="AE45" s="19">
        <v>101428870</v>
      </c>
      <c r="AF45" s="19">
        <v>19</v>
      </c>
      <c r="AG45" s="20">
        <v>22426305</v>
      </c>
      <c r="AH45" s="37">
        <f t="shared" si="54"/>
        <v>162</v>
      </c>
      <c r="AI45" s="31">
        <f t="shared" si="54"/>
        <v>155550070</v>
      </c>
      <c r="AJ45" s="31">
        <v>135</v>
      </c>
      <c r="AK45" s="31">
        <v>126585005</v>
      </c>
      <c r="AL45" s="31">
        <v>27</v>
      </c>
      <c r="AM45" s="38">
        <v>28965065</v>
      </c>
      <c r="AN45" s="43">
        <f t="shared" si="55"/>
        <v>166</v>
      </c>
      <c r="AO45" s="19">
        <f t="shared" si="55"/>
        <v>159732885</v>
      </c>
      <c r="AP45" s="19">
        <v>137</v>
      </c>
      <c r="AQ45" s="19">
        <v>129567210</v>
      </c>
      <c r="AR45" s="19">
        <v>29</v>
      </c>
      <c r="AS45" s="20">
        <v>30165675</v>
      </c>
    </row>
    <row r="46" spans="1:50" ht="33">
      <c r="A46" s="108"/>
      <c r="B46" s="107"/>
      <c r="C46" s="49" t="s">
        <v>103</v>
      </c>
      <c r="D46" s="84">
        <f t="shared" si="44"/>
        <v>0</v>
      </c>
      <c r="E46" s="85">
        <f t="shared" si="45"/>
        <v>0</v>
      </c>
      <c r="F46" s="85">
        <v>0</v>
      </c>
      <c r="G46" s="85">
        <v>0</v>
      </c>
      <c r="H46" s="85">
        <v>0</v>
      </c>
      <c r="I46" s="86">
        <v>0</v>
      </c>
      <c r="J46" s="37">
        <f t="shared" si="46"/>
        <v>0</v>
      </c>
      <c r="K46" s="31">
        <f t="shared" si="47"/>
        <v>0</v>
      </c>
      <c r="L46" s="31">
        <v>0</v>
      </c>
      <c r="M46" s="31">
        <v>0</v>
      </c>
      <c r="N46" s="31">
        <v>0</v>
      </c>
      <c r="O46" s="38">
        <v>0</v>
      </c>
      <c r="P46" s="43">
        <f t="shared" si="48"/>
        <v>1</v>
      </c>
      <c r="Q46" s="19">
        <f t="shared" si="49"/>
        <v>229000</v>
      </c>
      <c r="R46" s="19">
        <v>1</v>
      </c>
      <c r="S46" s="19">
        <v>229000</v>
      </c>
      <c r="T46" s="19">
        <v>0</v>
      </c>
      <c r="U46" s="20">
        <v>0</v>
      </c>
      <c r="V46" s="37">
        <f t="shared" si="50"/>
        <v>2</v>
      </c>
      <c r="W46" s="31">
        <f t="shared" si="51"/>
        <v>1144660</v>
      </c>
      <c r="X46" s="31">
        <v>2</v>
      </c>
      <c r="Y46" s="31">
        <v>1144660</v>
      </c>
      <c r="Z46" s="31">
        <v>0</v>
      </c>
      <c r="AA46" s="38">
        <v>0</v>
      </c>
      <c r="AB46" s="43">
        <f t="shared" si="52"/>
        <v>1</v>
      </c>
      <c r="AC46" s="19">
        <f t="shared" si="53"/>
        <v>229000</v>
      </c>
      <c r="AD46" s="19">
        <v>1</v>
      </c>
      <c r="AE46" s="19">
        <v>229000</v>
      </c>
      <c r="AF46" s="19">
        <v>0</v>
      </c>
      <c r="AG46" s="20">
        <v>0</v>
      </c>
      <c r="AH46" s="37">
        <f t="shared" si="54"/>
        <v>1</v>
      </c>
      <c r="AI46" s="31">
        <f t="shared" si="54"/>
        <v>219500</v>
      </c>
      <c r="AJ46" s="31">
        <v>1</v>
      </c>
      <c r="AK46" s="31">
        <v>219500</v>
      </c>
      <c r="AL46" s="31">
        <v>0</v>
      </c>
      <c r="AM46" s="38">
        <v>0</v>
      </c>
      <c r="AN46" s="43">
        <f t="shared" si="55"/>
        <v>3</v>
      </c>
      <c r="AO46" s="19">
        <f t="shared" si="55"/>
        <v>1854785</v>
      </c>
      <c r="AP46" s="19">
        <v>2</v>
      </c>
      <c r="AQ46" s="19">
        <v>1086785</v>
      </c>
      <c r="AR46" s="19">
        <v>1</v>
      </c>
      <c r="AS46" s="20">
        <v>768000</v>
      </c>
    </row>
    <row r="47" spans="1:50" ht="33">
      <c r="A47" s="108"/>
      <c r="B47" s="107"/>
      <c r="C47" s="49" t="s">
        <v>104</v>
      </c>
      <c r="D47" s="84">
        <f t="shared" si="44"/>
        <v>3</v>
      </c>
      <c r="E47" s="85">
        <f t="shared" si="45"/>
        <v>2556000</v>
      </c>
      <c r="F47" s="85">
        <v>3</v>
      </c>
      <c r="G47" s="85">
        <v>2556000</v>
      </c>
      <c r="H47" s="85">
        <v>0</v>
      </c>
      <c r="I47" s="86">
        <v>0</v>
      </c>
      <c r="J47" s="37">
        <f t="shared" si="46"/>
        <v>10</v>
      </c>
      <c r="K47" s="31">
        <f t="shared" si="47"/>
        <v>8348515</v>
      </c>
      <c r="L47" s="31">
        <v>9</v>
      </c>
      <c r="M47" s="31">
        <v>7363015</v>
      </c>
      <c r="N47" s="31">
        <v>1</v>
      </c>
      <c r="O47" s="38">
        <v>985500</v>
      </c>
      <c r="P47" s="43">
        <f t="shared" si="48"/>
        <v>5</v>
      </c>
      <c r="Q47" s="19">
        <f t="shared" si="49"/>
        <v>1992085</v>
      </c>
      <c r="R47" s="19">
        <v>4</v>
      </c>
      <c r="S47" s="19">
        <v>1860085</v>
      </c>
      <c r="T47" s="19">
        <v>1</v>
      </c>
      <c r="U47" s="20">
        <v>132000</v>
      </c>
      <c r="V47" s="37">
        <f t="shared" si="50"/>
        <v>5</v>
      </c>
      <c r="W47" s="31">
        <f t="shared" si="51"/>
        <v>4555755</v>
      </c>
      <c r="X47" s="31">
        <v>4</v>
      </c>
      <c r="Y47" s="31">
        <v>3595500</v>
      </c>
      <c r="Z47" s="31">
        <v>1</v>
      </c>
      <c r="AA47" s="38">
        <v>960255</v>
      </c>
      <c r="AB47" s="43">
        <f t="shared" si="52"/>
        <v>4</v>
      </c>
      <c r="AC47" s="19">
        <f t="shared" si="53"/>
        <v>3844250</v>
      </c>
      <c r="AD47" s="19">
        <v>3</v>
      </c>
      <c r="AE47" s="19">
        <v>2312000</v>
      </c>
      <c r="AF47" s="19">
        <v>1</v>
      </c>
      <c r="AG47" s="20">
        <v>1532250</v>
      </c>
      <c r="AH47" s="37">
        <f t="shared" si="54"/>
        <v>1</v>
      </c>
      <c r="AI47" s="31">
        <f t="shared" si="54"/>
        <v>900360</v>
      </c>
      <c r="AJ47" s="31">
        <v>1</v>
      </c>
      <c r="AK47" s="31">
        <v>900360</v>
      </c>
      <c r="AL47" s="31">
        <v>0</v>
      </c>
      <c r="AM47" s="38">
        <v>0</v>
      </c>
      <c r="AN47" s="43">
        <f t="shared" si="55"/>
        <v>6</v>
      </c>
      <c r="AO47" s="19">
        <f t="shared" si="55"/>
        <v>4703000</v>
      </c>
      <c r="AP47" s="19">
        <v>6</v>
      </c>
      <c r="AQ47" s="19">
        <v>4703000</v>
      </c>
      <c r="AR47" s="19">
        <v>0</v>
      </c>
      <c r="AS47" s="20">
        <v>0</v>
      </c>
    </row>
    <row r="48" spans="1:50" ht="22.15" customHeight="1">
      <c r="A48" s="108"/>
      <c r="B48" s="107"/>
      <c r="C48" s="49" t="s">
        <v>105</v>
      </c>
      <c r="D48" s="84">
        <f t="shared" si="44"/>
        <v>95</v>
      </c>
      <c r="E48" s="85">
        <f t="shared" si="45"/>
        <v>80048940</v>
      </c>
      <c r="F48" s="85">
        <v>91</v>
      </c>
      <c r="G48" s="85">
        <v>77127440</v>
      </c>
      <c r="H48" s="85">
        <v>4</v>
      </c>
      <c r="I48" s="86">
        <v>2921500</v>
      </c>
      <c r="J48" s="37">
        <f t="shared" si="46"/>
        <v>104</v>
      </c>
      <c r="K48" s="31">
        <f t="shared" si="47"/>
        <v>97965600</v>
      </c>
      <c r="L48" s="31">
        <v>99</v>
      </c>
      <c r="M48" s="31">
        <v>95382015</v>
      </c>
      <c r="N48" s="31">
        <v>5</v>
      </c>
      <c r="O48" s="38">
        <v>2583585</v>
      </c>
      <c r="P48" s="43">
        <f t="shared" si="48"/>
        <v>89</v>
      </c>
      <c r="Q48" s="19">
        <f t="shared" si="49"/>
        <v>79251445</v>
      </c>
      <c r="R48" s="19">
        <v>84</v>
      </c>
      <c r="S48" s="19">
        <v>72499945</v>
      </c>
      <c r="T48" s="19">
        <v>5</v>
      </c>
      <c r="U48" s="20">
        <v>6751500</v>
      </c>
      <c r="V48" s="37">
        <f t="shared" si="50"/>
        <v>96</v>
      </c>
      <c r="W48" s="31">
        <f t="shared" si="51"/>
        <v>94517825</v>
      </c>
      <c r="X48" s="31">
        <v>90</v>
      </c>
      <c r="Y48" s="31">
        <v>86876525</v>
      </c>
      <c r="Z48" s="31">
        <v>6</v>
      </c>
      <c r="AA48" s="38">
        <v>7641300</v>
      </c>
      <c r="AB48" s="43">
        <f t="shared" si="52"/>
        <v>90</v>
      </c>
      <c r="AC48" s="19">
        <f t="shared" si="53"/>
        <v>86772700</v>
      </c>
      <c r="AD48" s="19">
        <v>86</v>
      </c>
      <c r="AE48" s="19">
        <v>83475380</v>
      </c>
      <c r="AF48" s="19">
        <v>4</v>
      </c>
      <c r="AG48" s="20">
        <v>3297320</v>
      </c>
      <c r="AH48" s="37">
        <f t="shared" si="54"/>
        <v>85</v>
      </c>
      <c r="AI48" s="31">
        <f t="shared" si="54"/>
        <v>86436970</v>
      </c>
      <c r="AJ48" s="31">
        <v>82</v>
      </c>
      <c r="AK48" s="31">
        <v>81923470</v>
      </c>
      <c r="AL48" s="31">
        <v>3</v>
      </c>
      <c r="AM48" s="38">
        <v>4513500</v>
      </c>
      <c r="AN48" s="43">
        <f t="shared" si="55"/>
        <v>106</v>
      </c>
      <c r="AO48" s="19">
        <f t="shared" si="55"/>
        <v>101519758</v>
      </c>
      <c r="AP48" s="19">
        <v>100</v>
      </c>
      <c r="AQ48" s="19">
        <v>96560458</v>
      </c>
      <c r="AR48" s="19">
        <v>6</v>
      </c>
      <c r="AS48" s="20">
        <v>4959300</v>
      </c>
    </row>
    <row r="49" spans="1:95" ht="22.15" customHeight="1">
      <c r="A49" s="108"/>
      <c r="B49" s="107"/>
      <c r="C49" s="49" t="s">
        <v>106</v>
      </c>
      <c r="D49" s="84">
        <f t="shared" si="44"/>
        <v>72</v>
      </c>
      <c r="E49" s="85">
        <f t="shared" si="45"/>
        <v>54846702</v>
      </c>
      <c r="F49" s="85">
        <v>57</v>
      </c>
      <c r="G49" s="85">
        <v>41431437</v>
      </c>
      <c r="H49" s="85">
        <v>15</v>
      </c>
      <c r="I49" s="86">
        <v>13415265</v>
      </c>
      <c r="J49" s="37">
        <f t="shared" si="46"/>
        <v>75</v>
      </c>
      <c r="K49" s="31">
        <f t="shared" si="47"/>
        <v>52073795</v>
      </c>
      <c r="L49" s="31">
        <v>51</v>
      </c>
      <c r="M49" s="31">
        <v>33955865</v>
      </c>
      <c r="N49" s="31">
        <v>24</v>
      </c>
      <c r="O49" s="38">
        <v>18117930</v>
      </c>
      <c r="P49" s="43">
        <f t="shared" si="48"/>
        <v>50</v>
      </c>
      <c r="Q49" s="19">
        <f t="shared" si="49"/>
        <v>32532795</v>
      </c>
      <c r="R49" s="19">
        <v>37</v>
      </c>
      <c r="S49" s="19">
        <v>22487325</v>
      </c>
      <c r="T49" s="19">
        <v>13</v>
      </c>
      <c r="U49" s="20">
        <v>10045470</v>
      </c>
      <c r="V49" s="37">
        <f t="shared" si="50"/>
        <v>78</v>
      </c>
      <c r="W49" s="31">
        <f t="shared" si="51"/>
        <v>66191400</v>
      </c>
      <c r="X49" s="31">
        <v>64</v>
      </c>
      <c r="Y49" s="31">
        <v>53428650</v>
      </c>
      <c r="Z49" s="31">
        <v>14</v>
      </c>
      <c r="AA49" s="38">
        <v>12762750</v>
      </c>
      <c r="AB49" s="43">
        <f t="shared" si="52"/>
        <v>79</v>
      </c>
      <c r="AC49" s="19">
        <f t="shared" si="53"/>
        <v>61490380</v>
      </c>
      <c r="AD49" s="19">
        <v>60</v>
      </c>
      <c r="AE49" s="19">
        <v>40339020</v>
      </c>
      <c r="AF49" s="19">
        <v>19</v>
      </c>
      <c r="AG49" s="20">
        <v>21151360</v>
      </c>
      <c r="AH49" s="37">
        <f t="shared" si="54"/>
        <v>83</v>
      </c>
      <c r="AI49" s="31">
        <f t="shared" si="54"/>
        <v>64888850</v>
      </c>
      <c r="AJ49" s="31">
        <v>69</v>
      </c>
      <c r="AK49" s="31">
        <v>54389105</v>
      </c>
      <c r="AL49" s="31">
        <v>14</v>
      </c>
      <c r="AM49" s="38">
        <v>10499745</v>
      </c>
      <c r="AN49" s="43">
        <f t="shared" si="55"/>
        <v>83</v>
      </c>
      <c r="AO49" s="19">
        <f t="shared" si="55"/>
        <v>59853310</v>
      </c>
      <c r="AP49" s="19">
        <v>71</v>
      </c>
      <c r="AQ49" s="19">
        <v>49523265</v>
      </c>
      <c r="AR49" s="19">
        <v>12</v>
      </c>
      <c r="AS49" s="20">
        <v>10330045</v>
      </c>
    </row>
    <row r="50" spans="1:95" ht="22.15" customHeight="1">
      <c r="A50" s="108"/>
      <c r="B50" s="107"/>
      <c r="C50" s="49" t="s">
        <v>107</v>
      </c>
      <c r="D50" s="84">
        <f t="shared" si="44"/>
        <v>34</v>
      </c>
      <c r="E50" s="85">
        <f t="shared" si="45"/>
        <v>42968845</v>
      </c>
      <c r="F50" s="85">
        <v>31</v>
      </c>
      <c r="G50" s="85">
        <v>40140360</v>
      </c>
      <c r="H50" s="85">
        <v>3</v>
      </c>
      <c r="I50" s="86">
        <v>2828485</v>
      </c>
      <c r="J50" s="37">
        <f t="shared" si="46"/>
        <v>49</v>
      </c>
      <c r="K50" s="31">
        <f t="shared" si="47"/>
        <v>41669905</v>
      </c>
      <c r="L50" s="31">
        <v>47</v>
      </c>
      <c r="M50" s="31">
        <v>39495320</v>
      </c>
      <c r="N50" s="31">
        <v>2</v>
      </c>
      <c r="O50" s="38">
        <v>2174585</v>
      </c>
      <c r="P50" s="43">
        <f t="shared" si="48"/>
        <v>54</v>
      </c>
      <c r="Q50" s="19">
        <f t="shared" si="49"/>
        <v>59253333</v>
      </c>
      <c r="R50" s="19">
        <v>53</v>
      </c>
      <c r="S50" s="19">
        <v>57192333</v>
      </c>
      <c r="T50" s="19">
        <v>1</v>
      </c>
      <c r="U50" s="20">
        <v>2061000</v>
      </c>
      <c r="V50" s="37">
        <f t="shared" si="50"/>
        <v>52</v>
      </c>
      <c r="W50" s="31">
        <f t="shared" si="51"/>
        <v>54163507</v>
      </c>
      <c r="X50" s="31">
        <v>51</v>
      </c>
      <c r="Y50" s="31">
        <v>52102507</v>
      </c>
      <c r="Z50" s="31">
        <v>1</v>
      </c>
      <c r="AA50" s="38">
        <v>2061000</v>
      </c>
      <c r="AB50" s="43">
        <f t="shared" si="52"/>
        <v>49</v>
      </c>
      <c r="AC50" s="19">
        <f t="shared" si="53"/>
        <v>53285790</v>
      </c>
      <c r="AD50" s="19">
        <v>46</v>
      </c>
      <c r="AE50" s="19">
        <v>50451385</v>
      </c>
      <c r="AF50" s="19">
        <v>3</v>
      </c>
      <c r="AG50" s="20">
        <v>2834405</v>
      </c>
      <c r="AH50" s="37">
        <f t="shared" si="54"/>
        <v>60</v>
      </c>
      <c r="AI50" s="31">
        <f t="shared" si="54"/>
        <v>56761235</v>
      </c>
      <c r="AJ50" s="31">
        <v>59</v>
      </c>
      <c r="AK50" s="31">
        <f>54754595+1106280</f>
        <v>55860875</v>
      </c>
      <c r="AL50" s="31">
        <v>1</v>
      </c>
      <c r="AM50" s="38">
        <v>900360</v>
      </c>
      <c r="AN50" s="43">
        <f t="shared" si="55"/>
        <v>52</v>
      </c>
      <c r="AO50" s="19">
        <f t="shared" si="55"/>
        <v>60113705</v>
      </c>
      <c r="AP50" s="19">
        <f>47+1</f>
        <v>48</v>
      </c>
      <c r="AQ50" s="19">
        <f>55546835+702870</f>
        <v>56249705</v>
      </c>
      <c r="AR50" s="19">
        <v>4</v>
      </c>
      <c r="AS50" s="20">
        <v>3864000</v>
      </c>
    </row>
    <row r="51" spans="1:95" ht="22.15" customHeight="1">
      <c r="A51" s="108"/>
      <c r="B51" s="107"/>
      <c r="C51" s="49" t="s">
        <v>108</v>
      </c>
      <c r="D51" s="84">
        <f t="shared" si="44"/>
        <v>22</v>
      </c>
      <c r="E51" s="85">
        <f t="shared" si="45"/>
        <v>17068650</v>
      </c>
      <c r="F51" s="85">
        <v>12</v>
      </c>
      <c r="G51" s="85">
        <v>9383580</v>
      </c>
      <c r="H51" s="85">
        <v>10</v>
      </c>
      <c r="I51" s="86">
        <v>7685070</v>
      </c>
      <c r="J51" s="37">
        <f t="shared" si="46"/>
        <v>11</v>
      </c>
      <c r="K51" s="31">
        <f t="shared" si="47"/>
        <v>5025625</v>
      </c>
      <c r="L51" s="31">
        <v>9</v>
      </c>
      <c r="M51" s="31">
        <v>2934610</v>
      </c>
      <c r="N51" s="31">
        <v>2</v>
      </c>
      <c r="O51" s="38">
        <v>2091015</v>
      </c>
      <c r="P51" s="43">
        <f t="shared" si="48"/>
        <v>10</v>
      </c>
      <c r="Q51" s="19">
        <f t="shared" si="49"/>
        <v>4641500</v>
      </c>
      <c r="R51" s="19">
        <v>8</v>
      </c>
      <c r="S51" s="19">
        <v>4220500</v>
      </c>
      <c r="T51" s="19">
        <v>2</v>
      </c>
      <c r="U51" s="20">
        <v>421000</v>
      </c>
      <c r="V51" s="37">
        <f t="shared" si="50"/>
        <v>25</v>
      </c>
      <c r="W51" s="31">
        <f t="shared" si="51"/>
        <v>20446415</v>
      </c>
      <c r="X51" s="31">
        <v>11</v>
      </c>
      <c r="Y51" s="31">
        <v>8496460</v>
      </c>
      <c r="Z51" s="31">
        <v>14</v>
      </c>
      <c r="AA51" s="38">
        <v>11949955</v>
      </c>
      <c r="AB51" s="43">
        <f t="shared" si="52"/>
        <v>14</v>
      </c>
      <c r="AC51" s="19">
        <f t="shared" si="53"/>
        <v>12123970</v>
      </c>
      <c r="AD51" s="19">
        <v>13</v>
      </c>
      <c r="AE51" s="19">
        <v>10319470</v>
      </c>
      <c r="AF51" s="19">
        <v>1</v>
      </c>
      <c r="AG51" s="20">
        <v>1804500</v>
      </c>
      <c r="AH51" s="37">
        <f t="shared" si="54"/>
        <v>17</v>
      </c>
      <c r="AI51" s="31">
        <f t="shared" si="54"/>
        <v>10187455</v>
      </c>
      <c r="AJ51" s="31">
        <v>13</v>
      </c>
      <c r="AK51" s="31">
        <v>7683835</v>
      </c>
      <c r="AL51" s="31">
        <v>4</v>
      </c>
      <c r="AM51" s="38">
        <v>2503620</v>
      </c>
      <c r="AN51" s="43">
        <f t="shared" si="55"/>
        <v>24</v>
      </c>
      <c r="AO51" s="19">
        <f t="shared" si="55"/>
        <v>15885030</v>
      </c>
      <c r="AP51" s="19">
        <v>18</v>
      </c>
      <c r="AQ51" s="19">
        <v>11496030</v>
      </c>
      <c r="AR51" s="19">
        <v>6</v>
      </c>
      <c r="AS51" s="20">
        <v>4389000</v>
      </c>
    </row>
    <row r="52" spans="1:95" ht="33">
      <c r="A52" s="108"/>
      <c r="B52" s="107"/>
      <c r="C52" s="49" t="s">
        <v>130</v>
      </c>
      <c r="D52" s="84">
        <f t="shared" si="44"/>
        <v>4</v>
      </c>
      <c r="E52" s="85">
        <f t="shared" si="45"/>
        <v>5294415</v>
      </c>
      <c r="F52" s="85">
        <v>2</v>
      </c>
      <c r="G52" s="85">
        <v>3348000</v>
      </c>
      <c r="H52" s="85">
        <v>2</v>
      </c>
      <c r="I52" s="86">
        <v>1946415</v>
      </c>
      <c r="J52" s="37">
        <f t="shared" si="46"/>
        <v>3</v>
      </c>
      <c r="K52" s="31">
        <f t="shared" si="47"/>
        <v>5310000</v>
      </c>
      <c r="L52" s="31">
        <v>2</v>
      </c>
      <c r="M52" s="31">
        <v>4122000</v>
      </c>
      <c r="N52" s="31">
        <v>1</v>
      </c>
      <c r="O52" s="38">
        <v>1188000</v>
      </c>
      <c r="P52" s="43">
        <f t="shared" si="48"/>
        <v>11</v>
      </c>
      <c r="Q52" s="19">
        <f t="shared" si="49"/>
        <v>10880080</v>
      </c>
      <c r="R52" s="19">
        <v>6</v>
      </c>
      <c r="S52" s="19">
        <v>6545580</v>
      </c>
      <c r="T52" s="19">
        <v>5</v>
      </c>
      <c r="U52" s="20">
        <v>4334500</v>
      </c>
      <c r="V52" s="37">
        <f t="shared" si="50"/>
        <v>9</v>
      </c>
      <c r="W52" s="31">
        <f t="shared" si="51"/>
        <v>6103723</v>
      </c>
      <c r="X52" s="31">
        <v>6</v>
      </c>
      <c r="Y52" s="31">
        <v>5652518</v>
      </c>
      <c r="Z52" s="31">
        <v>3</v>
      </c>
      <c r="AA52" s="38">
        <v>451205</v>
      </c>
      <c r="AB52" s="43">
        <f t="shared" si="52"/>
        <v>10</v>
      </c>
      <c r="AC52" s="19">
        <f t="shared" si="53"/>
        <v>11852870</v>
      </c>
      <c r="AD52" s="19">
        <v>7</v>
      </c>
      <c r="AE52" s="19">
        <v>8633370</v>
      </c>
      <c r="AF52" s="19">
        <v>3</v>
      </c>
      <c r="AG52" s="20">
        <v>3219500</v>
      </c>
      <c r="AH52" s="37">
        <f t="shared" si="54"/>
        <v>4</v>
      </c>
      <c r="AI52" s="31">
        <f t="shared" si="54"/>
        <v>5097000</v>
      </c>
      <c r="AJ52" s="31">
        <v>4</v>
      </c>
      <c r="AK52" s="31">
        <v>5097000</v>
      </c>
      <c r="AL52" s="31">
        <v>0</v>
      </c>
      <c r="AM52" s="38">
        <v>0</v>
      </c>
      <c r="AN52" s="43">
        <f t="shared" si="55"/>
        <v>6</v>
      </c>
      <c r="AO52" s="19">
        <f t="shared" si="55"/>
        <v>4894820</v>
      </c>
      <c r="AP52" s="19">
        <v>3</v>
      </c>
      <c r="AQ52" s="19">
        <v>2787720</v>
      </c>
      <c r="AR52" s="19">
        <v>3</v>
      </c>
      <c r="AS52" s="20">
        <v>2107100</v>
      </c>
    </row>
    <row r="53" spans="1:95" ht="22.15" customHeight="1">
      <c r="A53" s="108"/>
      <c r="B53" s="107"/>
      <c r="C53" s="49" t="s">
        <v>109</v>
      </c>
      <c r="D53" s="84">
        <f t="shared" si="44"/>
        <v>3</v>
      </c>
      <c r="E53" s="85">
        <f t="shared" si="45"/>
        <v>654450</v>
      </c>
      <c r="F53" s="85">
        <v>1</v>
      </c>
      <c r="G53" s="85">
        <v>335500</v>
      </c>
      <c r="H53" s="85">
        <v>2</v>
      </c>
      <c r="I53" s="86">
        <v>318950</v>
      </c>
      <c r="J53" s="37">
        <f t="shared" si="46"/>
        <v>5</v>
      </c>
      <c r="K53" s="31">
        <f t="shared" si="47"/>
        <v>1954800</v>
      </c>
      <c r="L53" s="31">
        <v>4</v>
      </c>
      <c r="M53" s="31">
        <v>1730750</v>
      </c>
      <c r="N53" s="31">
        <v>1</v>
      </c>
      <c r="O53" s="38">
        <v>224050</v>
      </c>
      <c r="P53" s="43">
        <f t="shared" si="48"/>
        <v>5</v>
      </c>
      <c r="Q53" s="19">
        <f t="shared" si="49"/>
        <v>5128500</v>
      </c>
      <c r="R53" s="19">
        <v>2</v>
      </c>
      <c r="S53" s="19">
        <v>2204500</v>
      </c>
      <c r="T53" s="19">
        <v>3</v>
      </c>
      <c r="U53" s="20">
        <v>2924000</v>
      </c>
      <c r="V53" s="37">
        <f t="shared" si="50"/>
        <v>3</v>
      </c>
      <c r="W53" s="31">
        <f t="shared" si="51"/>
        <v>4265500</v>
      </c>
      <c r="X53" s="31">
        <v>2</v>
      </c>
      <c r="Y53" s="31">
        <v>2204500</v>
      </c>
      <c r="Z53" s="31">
        <v>1</v>
      </c>
      <c r="AA53" s="38">
        <v>2061000</v>
      </c>
      <c r="AB53" s="43">
        <f t="shared" si="52"/>
        <v>11</v>
      </c>
      <c r="AC53" s="19">
        <f t="shared" si="53"/>
        <v>11131320</v>
      </c>
      <c r="AD53" s="19">
        <v>2</v>
      </c>
      <c r="AE53" s="19">
        <v>285705</v>
      </c>
      <c r="AF53" s="19">
        <v>9</v>
      </c>
      <c r="AG53" s="20">
        <v>10845615</v>
      </c>
      <c r="AH53" s="37">
        <f t="shared" si="54"/>
        <v>8</v>
      </c>
      <c r="AI53" s="31">
        <f t="shared" si="54"/>
        <v>8347550</v>
      </c>
      <c r="AJ53" s="31">
        <v>3</v>
      </c>
      <c r="AK53" s="31">
        <v>2270065</v>
      </c>
      <c r="AL53" s="31">
        <v>5</v>
      </c>
      <c r="AM53" s="38">
        <v>6077485</v>
      </c>
      <c r="AN53" s="43">
        <f t="shared" si="55"/>
        <v>6</v>
      </c>
      <c r="AO53" s="19">
        <f t="shared" si="55"/>
        <v>6700615</v>
      </c>
      <c r="AP53" s="19">
        <v>3</v>
      </c>
      <c r="AQ53" s="19">
        <v>4079870</v>
      </c>
      <c r="AR53" s="19">
        <v>3</v>
      </c>
      <c r="AS53" s="20">
        <v>2620745</v>
      </c>
    </row>
    <row r="54" spans="1:95" ht="22.15" customHeight="1">
      <c r="A54" s="108"/>
      <c r="B54" s="107"/>
      <c r="C54" s="49" t="s">
        <v>59</v>
      </c>
      <c r="D54" s="84">
        <f t="shared" si="44"/>
        <v>3</v>
      </c>
      <c r="E54" s="85">
        <f t="shared" si="45"/>
        <v>5082000</v>
      </c>
      <c r="F54" s="85">
        <v>2</v>
      </c>
      <c r="G54" s="85">
        <v>3021000</v>
      </c>
      <c r="H54" s="85">
        <v>1</v>
      </c>
      <c r="I54" s="86">
        <v>2061000</v>
      </c>
      <c r="J54" s="37">
        <f t="shared" si="46"/>
        <v>8</v>
      </c>
      <c r="K54" s="31">
        <f t="shared" si="47"/>
        <v>4754955</v>
      </c>
      <c r="L54" s="31">
        <v>5</v>
      </c>
      <c r="M54" s="31">
        <v>3802750</v>
      </c>
      <c r="N54" s="31">
        <v>3</v>
      </c>
      <c r="O54" s="38">
        <v>952205</v>
      </c>
      <c r="P54" s="43">
        <f t="shared" si="48"/>
        <v>5</v>
      </c>
      <c r="Q54" s="19">
        <f t="shared" si="49"/>
        <v>4597835</v>
      </c>
      <c r="R54" s="19">
        <v>3</v>
      </c>
      <c r="S54" s="19">
        <v>2416335</v>
      </c>
      <c r="T54" s="19">
        <v>2</v>
      </c>
      <c r="U54" s="20">
        <v>2181500</v>
      </c>
      <c r="V54" s="37">
        <f t="shared" si="50"/>
        <v>1</v>
      </c>
      <c r="W54" s="31">
        <f t="shared" si="51"/>
        <v>229000</v>
      </c>
      <c r="X54" s="31">
        <v>1</v>
      </c>
      <c r="Y54" s="31">
        <v>229000</v>
      </c>
      <c r="Z54" s="31">
        <v>0</v>
      </c>
      <c r="AA54" s="38">
        <v>0</v>
      </c>
      <c r="AB54" s="43">
        <f t="shared" si="52"/>
        <v>4</v>
      </c>
      <c r="AC54" s="19">
        <f t="shared" si="53"/>
        <v>4692680</v>
      </c>
      <c r="AD54" s="19">
        <v>4</v>
      </c>
      <c r="AE54" s="19">
        <v>4692680</v>
      </c>
      <c r="AF54" s="19">
        <v>0</v>
      </c>
      <c r="AG54" s="20">
        <v>0</v>
      </c>
      <c r="AH54" s="37">
        <f t="shared" si="54"/>
        <v>9</v>
      </c>
      <c r="AI54" s="31">
        <f t="shared" si="54"/>
        <v>8433895</v>
      </c>
      <c r="AJ54" s="31">
        <v>8</v>
      </c>
      <c r="AK54" s="31">
        <v>8244645</v>
      </c>
      <c r="AL54" s="31">
        <v>1</v>
      </c>
      <c r="AM54" s="38">
        <v>189250</v>
      </c>
      <c r="AN54" s="43">
        <f t="shared" si="55"/>
        <v>4</v>
      </c>
      <c r="AO54" s="19">
        <f t="shared" si="55"/>
        <v>3206285</v>
      </c>
      <c r="AP54" s="19">
        <v>4</v>
      </c>
      <c r="AQ54" s="19">
        <v>3206285</v>
      </c>
      <c r="AR54" s="19">
        <v>0</v>
      </c>
      <c r="AS54" s="20">
        <v>0</v>
      </c>
    </row>
    <row r="55" spans="1:95" ht="33">
      <c r="A55" s="108"/>
      <c r="B55" s="107"/>
      <c r="C55" s="49" t="s">
        <v>110</v>
      </c>
      <c r="D55" s="84">
        <f t="shared" si="44"/>
        <v>6</v>
      </c>
      <c r="E55" s="85">
        <f t="shared" si="45"/>
        <v>5938000</v>
      </c>
      <c r="F55" s="85">
        <v>4</v>
      </c>
      <c r="G55" s="85">
        <v>3544000</v>
      </c>
      <c r="H55" s="85">
        <v>2</v>
      </c>
      <c r="I55" s="86">
        <v>2394000</v>
      </c>
      <c r="J55" s="37">
        <f t="shared" si="46"/>
        <v>10</v>
      </c>
      <c r="K55" s="31">
        <f t="shared" si="47"/>
        <v>10380000</v>
      </c>
      <c r="L55" s="31">
        <v>10</v>
      </c>
      <c r="M55" s="31">
        <v>10380000</v>
      </c>
      <c r="N55" s="31">
        <v>0</v>
      </c>
      <c r="O55" s="38">
        <v>0</v>
      </c>
      <c r="P55" s="43">
        <f t="shared" si="48"/>
        <v>5</v>
      </c>
      <c r="Q55" s="19">
        <f t="shared" si="49"/>
        <v>1056300</v>
      </c>
      <c r="R55" s="19">
        <v>5</v>
      </c>
      <c r="S55" s="19">
        <v>1056300</v>
      </c>
      <c r="T55" s="19">
        <v>0</v>
      </c>
      <c r="U55" s="20">
        <v>0</v>
      </c>
      <c r="V55" s="37">
        <f t="shared" si="50"/>
        <v>12</v>
      </c>
      <c r="W55" s="31">
        <f t="shared" si="51"/>
        <v>11840550</v>
      </c>
      <c r="X55" s="31">
        <v>10</v>
      </c>
      <c r="Y55" s="31">
        <v>9655550</v>
      </c>
      <c r="Z55" s="31">
        <v>2</v>
      </c>
      <c r="AA55" s="38">
        <v>2185000</v>
      </c>
      <c r="AB55" s="43">
        <f t="shared" si="52"/>
        <v>10</v>
      </c>
      <c r="AC55" s="19">
        <f t="shared" si="53"/>
        <v>6580615</v>
      </c>
      <c r="AD55" s="19">
        <v>10</v>
      </c>
      <c r="AE55" s="19">
        <v>6580615</v>
      </c>
      <c r="AF55" s="19">
        <v>0</v>
      </c>
      <c r="AG55" s="20">
        <v>0</v>
      </c>
      <c r="AH55" s="37">
        <f t="shared" si="54"/>
        <v>14</v>
      </c>
      <c r="AI55" s="31">
        <f t="shared" si="54"/>
        <v>13837510</v>
      </c>
      <c r="AJ55" s="31">
        <v>14</v>
      </c>
      <c r="AK55" s="31">
        <v>13837510</v>
      </c>
      <c r="AL55" s="31">
        <v>0</v>
      </c>
      <c r="AM55" s="38">
        <v>0</v>
      </c>
      <c r="AN55" s="43">
        <f t="shared" si="55"/>
        <v>16</v>
      </c>
      <c r="AO55" s="19">
        <f t="shared" si="55"/>
        <v>15684820</v>
      </c>
      <c r="AP55" s="19">
        <v>11</v>
      </c>
      <c r="AQ55" s="19">
        <v>9982420</v>
      </c>
      <c r="AR55" s="19">
        <v>5</v>
      </c>
      <c r="AS55" s="20">
        <v>5702400</v>
      </c>
    </row>
    <row r="56" spans="1:95" ht="22.15" customHeight="1">
      <c r="A56" s="108"/>
      <c r="B56" s="107"/>
      <c r="C56" s="49" t="s">
        <v>60</v>
      </c>
      <c r="D56" s="84">
        <f t="shared" si="44"/>
        <v>38</v>
      </c>
      <c r="E56" s="85">
        <f t="shared" si="45"/>
        <v>30263365</v>
      </c>
      <c r="F56" s="85">
        <v>30</v>
      </c>
      <c r="G56" s="85">
        <v>22931895</v>
      </c>
      <c r="H56" s="85">
        <v>8</v>
      </c>
      <c r="I56" s="86">
        <v>7331470</v>
      </c>
      <c r="J56" s="37">
        <f t="shared" si="46"/>
        <v>46</v>
      </c>
      <c r="K56" s="31">
        <f t="shared" si="47"/>
        <v>49184058</v>
      </c>
      <c r="L56" s="31">
        <v>39</v>
      </c>
      <c r="M56" s="31">
        <v>40915858</v>
      </c>
      <c r="N56" s="31">
        <v>7</v>
      </c>
      <c r="O56" s="38">
        <v>8268200</v>
      </c>
      <c r="P56" s="43">
        <f t="shared" si="48"/>
        <v>44</v>
      </c>
      <c r="Q56" s="19">
        <f t="shared" si="49"/>
        <v>36587770</v>
      </c>
      <c r="R56" s="19">
        <v>33</v>
      </c>
      <c r="S56" s="19">
        <v>25464355</v>
      </c>
      <c r="T56" s="19">
        <v>11</v>
      </c>
      <c r="U56" s="20">
        <v>11123415</v>
      </c>
      <c r="V56" s="37">
        <f t="shared" si="50"/>
        <v>30</v>
      </c>
      <c r="W56" s="31">
        <f t="shared" si="51"/>
        <v>27955275</v>
      </c>
      <c r="X56" s="31">
        <v>23</v>
      </c>
      <c r="Y56" s="31">
        <v>20447075</v>
      </c>
      <c r="Z56" s="31">
        <v>7</v>
      </c>
      <c r="AA56" s="38">
        <v>7508200</v>
      </c>
      <c r="AB56" s="43">
        <f t="shared" si="52"/>
        <v>50</v>
      </c>
      <c r="AC56" s="19">
        <f t="shared" si="53"/>
        <v>46486565</v>
      </c>
      <c r="AD56" s="19">
        <v>41</v>
      </c>
      <c r="AE56" s="19">
        <v>38534985</v>
      </c>
      <c r="AF56" s="19">
        <v>9</v>
      </c>
      <c r="AG56" s="20">
        <v>7951580</v>
      </c>
      <c r="AH56" s="37">
        <f t="shared" si="54"/>
        <v>49</v>
      </c>
      <c r="AI56" s="31">
        <f t="shared" si="54"/>
        <v>40409870</v>
      </c>
      <c r="AJ56" s="31">
        <v>39</v>
      </c>
      <c r="AK56" s="31">
        <v>31136790</v>
      </c>
      <c r="AL56" s="31">
        <v>10</v>
      </c>
      <c r="AM56" s="38">
        <v>9273080</v>
      </c>
      <c r="AN56" s="43">
        <f t="shared" si="55"/>
        <v>43</v>
      </c>
      <c r="AO56" s="19">
        <f t="shared" si="55"/>
        <v>35221405</v>
      </c>
      <c r="AP56" s="19">
        <v>41</v>
      </c>
      <c r="AQ56" s="19">
        <v>33913405</v>
      </c>
      <c r="AR56" s="19">
        <v>2</v>
      </c>
      <c r="AS56" s="20">
        <v>1308000</v>
      </c>
    </row>
    <row r="57" spans="1:95" ht="49.5">
      <c r="A57" s="108"/>
      <c r="B57" s="107"/>
      <c r="C57" s="49" t="s">
        <v>81</v>
      </c>
      <c r="D57" s="84">
        <f t="shared" si="44"/>
        <v>12</v>
      </c>
      <c r="E57" s="85">
        <f t="shared" si="45"/>
        <v>16472409</v>
      </c>
      <c r="F57" s="85">
        <v>9</v>
      </c>
      <c r="G57" s="85">
        <v>12168894</v>
      </c>
      <c r="H57" s="85">
        <v>3</v>
      </c>
      <c r="I57" s="86">
        <v>4303515</v>
      </c>
      <c r="J57" s="37">
        <f t="shared" si="46"/>
        <v>8</v>
      </c>
      <c r="K57" s="31">
        <f t="shared" si="47"/>
        <v>9706000</v>
      </c>
      <c r="L57" s="31">
        <v>6</v>
      </c>
      <c r="M57" s="31">
        <v>6584485</v>
      </c>
      <c r="N57" s="31">
        <v>2</v>
      </c>
      <c r="O57" s="38">
        <v>3121515</v>
      </c>
      <c r="P57" s="43">
        <f t="shared" si="48"/>
        <v>6</v>
      </c>
      <c r="Q57" s="19">
        <f t="shared" si="49"/>
        <v>6859900</v>
      </c>
      <c r="R57" s="19">
        <v>5</v>
      </c>
      <c r="S57" s="19">
        <v>5496400</v>
      </c>
      <c r="T57" s="19">
        <v>1</v>
      </c>
      <c r="U57" s="20">
        <v>1363500</v>
      </c>
      <c r="V57" s="37">
        <f t="shared" si="50"/>
        <v>8</v>
      </c>
      <c r="W57" s="31">
        <f t="shared" si="51"/>
        <v>10838280</v>
      </c>
      <c r="X57" s="31">
        <v>8</v>
      </c>
      <c r="Y57" s="31">
        <v>10838280</v>
      </c>
      <c r="Z57" s="31">
        <v>0</v>
      </c>
      <c r="AA57" s="38">
        <v>0</v>
      </c>
      <c r="AB57" s="43">
        <f t="shared" si="52"/>
        <v>4</v>
      </c>
      <c r="AC57" s="19">
        <f t="shared" si="53"/>
        <v>6669765</v>
      </c>
      <c r="AD57" s="19">
        <v>4</v>
      </c>
      <c r="AE57" s="19">
        <v>6669765</v>
      </c>
      <c r="AF57" s="19">
        <v>0</v>
      </c>
      <c r="AG57" s="20">
        <v>0</v>
      </c>
      <c r="AH57" s="37">
        <f t="shared" si="54"/>
        <v>8</v>
      </c>
      <c r="AI57" s="31">
        <f t="shared" si="54"/>
        <v>9641515</v>
      </c>
      <c r="AJ57" s="31">
        <v>6</v>
      </c>
      <c r="AK57" s="31">
        <v>7443350</v>
      </c>
      <c r="AL57" s="31">
        <v>2</v>
      </c>
      <c r="AM57" s="38">
        <v>2198165</v>
      </c>
      <c r="AN57" s="43">
        <f t="shared" si="55"/>
        <v>8</v>
      </c>
      <c r="AO57" s="19">
        <f t="shared" si="55"/>
        <v>9026250</v>
      </c>
      <c r="AP57" s="19">
        <v>6</v>
      </c>
      <c r="AQ57" s="19">
        <v>8634750</v>
      </c>
      <c r="AR57" s="19">
        <v>2</v>
      </c>
      <c r="AS57" s="20">
        <v>391500</v>
      </c>
    </row>
    <row r="58" spans="1:95" ht="22.15" customHeight="1">
      <c r="A58" s="108"/>
      <c r="B58" s="107"/>
      <c r="C58" s="49" t="s">
        <v>111</v>
      </c>
      <c r="D58" s="84">
        <f t="shared" si="44"/>
        <v>13</v>
      </c>
      <c r="E58" s="85">
        <f t="shared" si="45"/>
        <v>10347394</v>
      </c>
      <c r="F58" s="85">
        <v>8</v>
      </c>
      <c r="G58" s="85">
        <v>5242894</v>
      </c>
      <c r="H58" s="85">
        <v>5</v>
      </c>
      <c r="I58" s="86">
        <v>5104500</v>
      </c>
      <c r="J58" s="37">
        <f t="shared" si="46"/>
        <v>4</v>
      </c>
      <c r="K58" s="31">
        <f t="shared" si="47"/>
        <v>2483500</v>
      </c>
      <c r="L58" s="31">
        <v>0</v>
      </c>
      <c r="M58" s="31">
        <v>0</v>
      </c>
      <c r="N58" s="31">
        <v>4</v>
      </c>
      <c r="O58" s="38">
        <v>2483500</v>
      </c>
      <c r="P58" s="43">
        <f t="shared" si="48"/>
        <v>5</v>
      </c>
      <c r="Q58" s="19">
        <f t="shared" si="49"/>
        <v>6746565</v>
      </c>
      <c r="R58" s="19">
        <v>4</v>
      </c>
      <c r="S58" s="19">
        <v>4685565</v>
      </c>
      <c r="T58" s="19">
        <v>1</v>
      </c>
      <c r="U58" s="20">
        <v>2061000</v>
      </c>
      <c r="V58" s="37">
        <f t="shared" si="50"/>
        <v>1</v>
      </c>
      <c r="W58" s="31">
        <f t="shared" si="51"/>
        <v>67500</v>
      </c>
      <c r="X58" s="31">
        <v>1</v>
      </c>
      <c r="Y58" s="31">
        <v>67500</v>
      </c>
      <c r="Z58" s="31">
        <v>0</v>
      </c>
      <c r="AA58" s="38">
        <v>0</v>
      </c>
      <c r="AB58" s="43">
        <f t="shared" si="52"/>
        <v>8</v>
      </c>
      <c r="AC58" s="19">
        <f t="shared" si="53"/>
        <v>6993160</v>
      </c>
      <c r="AD58" s="19">
        <v>2</v>
      </c>
      <c r="AE58" s="19">
        <v>1785000</v>
      </c>
      <c r="AF58" s="19">
        <v>6</v>
      </c>
      <c r="AG58" s="20">
        <v>5208160</v>
      </c>
      <c r="AH58" s="37">
        <f t="shared" si="54"/>
        <v>7</v>
      </c>
      <c r="AI58" s="31">
        <f t="shared" si="54"/>
        <v>6050160</v>
      </c>
      <c r="AJ58" s="31">
        <v>3</v>
      </c>
      <c r="AK58" s="31">
        <v>1921500</v>
      </c>
      <c r="AL58" s="31">
        <v>4</v>
      </c>
      <c r="AM58" s="38">
        <v>4128660</v>
      </c>
      <c r="AN58" s="43">
        <f t="shared" si="55"/>
        <v>6</v>
      </c>
      <c r="AO58" s="19">
        <f t="shared" si="55"/>
        <v>3539810</v>
      </c>
      <c r="AP58" s="19">
        <v>4</v>
      </c>
      <c r="AQ58" s="19">
        <v>1757000</v>
      </c>
      <c r="AR58" s="19">
        <v>2</v>
      </c>
      <c r="AS58" s="20">
        <v>1782810</v>
      </c>
    </row>
    <row r="59" spans="1:95" ht="33">
      <c r="A59" s="108"/>
      <c r="B59" s="107"/>
      <c r="C59" s="49" t="s">
        <v>112</v>
      </c>
      <c r="D59" s="84">
        <f t="shared" si="44"/>
        <v>10</v>
      </c>
      <c r="E59" s="85">
        <f t="shared" si="45"/>
        <v>9465160</v>
      </c>
      <c r="F59" s="85">
        <v>3</v>
      </c>
      <c r="G59" s="85">
        <v>3355345</v>
      </c>
      <c r="H59" s="85">
        <v>7</v>
      </c>
      <c r="I59" s="86">
        <v>6109815</v>
      </c>
      <c r="J59" s="37">
        <f t="shared" si="46"/>
        <v>12</v>
      </c>
      <c r="K59" s="31">
        <f t="shared" si="47"/>
        <v>10869080</v>
      </c>
      <c r="L59" s="31">
        <v>3</v>
      </c>
      <c r="M59" s="31">
        <v>3467000</v>
      </c>
      <c r="N59" s="31">
        <v>9</v>
      </c>
      <c r="O59" s="38">
        <v>7402080</v>
      </c>
      <c r="P59" s="43">
        <f t="shared" si="48"/>
        <v>7</v>
      </c>
      <c r="Q59" s="19">
        <f t="shared" si="49"/>
        <v>3473350</v>
      </c>
      <c r="R59" s="19">
        <v>2</v>
      </c>
      <c r="S59" s="19">
        <v>306250</v>
      </c>
      <c r="T59" s="19">
        <v>5</v>
      </c>
      <c r="U59" s="20">
        <v>3167100</v>
      </c>
      <c r="V59" s="37">
        <f t="shared" si="50"/>
        <v>12</v>
      </c>
      <c r="W59" s="31">
        <f t="shared" si="51"/>
        <v>14342215</v>
      </c>
      <c r="X59" s="31">
        <v>4</v>
      </c>
      <c r="Y59" s="31">
        <v>4898215</v>
      </c>
      <c r="Z59" s="31">
        <v>8</v>
      </c>
      <c r="AA59" s="38">
        <v>9444000</v>
      </c>
      <c r="AB59" s="43">
        <f t="shared" si="52"/>
        <v>8</v>
      </c>
      <c r="AC59" s="19">
        <f t="shared" si="53"/>
        <v>7473985</v>
      </c>
      <c r="AD59" s="19">
        <v>2</v>
      </c>
      <c r="AE59" s="19">
        <v>1793415</v>
      </c>
      <c r="AF59" s="19">
        <v>6</v>
      </c>
      <c r="AG59" s="20">
        <v>5680570</v>
      </c>
      <c r="AH59" s="37">
        <f t="shared" si="54"/>
        <v>11</v>
      </c>
      <c r="AI59" s="31">
        <f t="shared" si="54"/>
        <v>14695800</v>
      </c>
      <c r="AJ59" s="31">
        <v>0</v>
      </c>
      <c r="AK59" s="31">
        <v>737835</v>
      </c>
      <c r="AL59" s="31">
        <v>11</v>
      </c>
      <c r="AM59" s="38">
        <v>13957965</v>
      </c>
      <c r="AN59" s="43">
        <f t="shared" si="55"/>
        <v>4</v>
      </c>
      <c r="AO59" s="19">
        <f t="shared" si="55"/>
        <v>2801255</v>
      </c>
      <c r="AP59" s="19">
        <v>3</v>
      </c>
      <c r="AQ59" s="19">
        <v>521500</v>
      </c>
      <c r="AR59" s="19">
        <v>1</v>
      </c>
      <c r="AS59" s="20">
        <v>2279755</v>
      </c>
    </row>
    <row r="60" spans="1:95" ht="33">
      <c r="A60" s="108"/>
      <c r="B60" s="107"/>
      <c r="C60" s="49" t="s">
        <v>83</v>
      </c>
      <c r="D60" s="84">
        <f t="shared" si="44"/>
        <v>2</v>
      </c>
      <c r="E60" s="85">
        <f t="shared" si="45"/>
        <v>316600</v>
      </c>
      <c r="F60" s="85">
        <v>2</v>
      </c>
      <c r="G60" s="85">
        <v>316600</v>
      </c>
      <c r="H60" s="85">
        <v>0</v>
      </c>
      <c r="I60" s="86">
        <v>0</v>
      </c>
      <c r="J60" s="37">
        <f t="shared" si="46"/>
        <v>4</v>
      </c>
      <c r="K60" s="31">
        <f t="shared" si="47"/>
        <v>870420</v>
      </c>
      <c r="L60" s="31">
        <v>4</v>
      </c>
      <c r="M60" s="31">
        <v>870420</v>
      </c>
      <c r="N60" s="31">
        <v>0</v>
      </c>
      <c r="O60" s="38">
        <v>0</v>
      </c>
      <c r="P60" s="43">
        <f t="shared" si="48"/>
        <v>5</v>
      </c>
      <c r="Q60" s="19">
        <f t="shared" si="49"/>
        <v>7691220</v>
      </c>
      <c r="R60" s="19">
        <v>3</v>
      </c>
      <c r="S60" s="19">
        <v>4388220</v>
      </c>
      <c r="T60" s="19">
        <v>2</v>
      </c>
      <c r="U60" s="20">
        <v>3303000</v>
      </c>
      <c r="V60" s="37">
        <f t="shared" si="50"/>
        <v>6</v>
      </c>
      <c r="W60" s="31">
        <f t="shared" si="51"/>
        <v>3268450</v>
      </c>
      <c r="X60" s="31">
        <v>3</v>
      </c>
      <c r="Y60" s="31">
        <v>2009050</v>
      </c>
      <c r="Z60" s="31">
        <v>3</v>
      </c>
      <c r="AA60" s="38">
        <v>1259400</v>
      </c>
      <c r="AB60" s="43">
        <f t="shared" si="52"/>
        <v>5</v>
      </c>
      <c r="AC60" s="19">
        <f t="shared" si="53"/>
        <v>4560755</v>
      </c>
      <c r="AD60" s="19">
        <v>3</v>
      </c>
      <c r="AE60" s="19">
        <v>2873425</v>
      </c>
      <c r="AF60" s="19">
        <v>2</v>
      </c>
      <c r="AG60" s="20">
        <v>1687330</v>
      </c>
      <c r="AH60" s="37">
        <f t="shared" si="54"/>
        <v>3</v>
      </c>
      <c r="AI60" s="31">
        <f t="shared" si="54"/>
        <v>2562500</v>
      </c>
      <c r="AJ60" s="31">
        <v>2</v>
      </c>
      <c r="AK60" s="31">
        <v>1199000</v>
      </c>
      <c r="AL60" s="31">
        <v>1</v>
      </c>
      <c r="AM60" s="38">
        <v>1363500</v>
      </c>
      <c r="AN60" s="43">
        <f t="shared" si="55"/>
        <v>5</v>
      </c>
      <c r="AO60" s="19">
        <f t="shared" si="55"/>
        <v>3711890</v>
      </c>
      <c r="AP60" s="19">
        <v>3</v>
      </c>
      <c r="AQ60" s="19">
        <v>2597150</v>
      </c>
      <c r="AR60" s="19">
        <v>2</v>
      </c>
      <c r="AS60" s="20">
        <v>1114740</v>
      </c>
    </row>
    <row r="61" spans="1:95" ht="22.15" customHeight="1" thickBot="1">
      <c r="A61" s="109"/>
      <c r="B61" s="110"/>
      <c r="C61" s="50" t="s">
        <v>62</v>
      </c>
      <c r="D61" s="87">
        <f t="shared" si="44"/>
        <v>17</v>
      </c>
      <c r="E61" s="88">
        <f t="shared" si="45"/>
        <v>16205745</v>
      </c>
      <c r="F61" s="88">
        <v>11</v>
      </c>
      <c r="G61" s="88">
        <v>9028995</v>
      </c>
      <c r="H61" s="88">
        <v>6</v>
      </c>
      <c r="I61" s="89">
        <v>7176750</v>
      </c>
      <c r="J61" s="39">
        <f t="shared" si="46"/>
        <v>20</v>
      </c>
      <c r="K61" s="32">
        <f t="shared" si="47"/>
        <v>13697845</v>
      </c>
      <c r="L61" s="32">
        <v>13</v>
      </c>
      <c r="M61" s="32">
        <v>7918845</v>
      </c>
      <c r="N61" s="32">
        <v>7</v>
      </c>
      <c r="O61" s="40">
        <v>5779000</v>
      </c>
      <c r="P61" s="44">
        <f t="shared" si="48"/>
        <v>16</v>
      </c>
      <c r="Q61" s="24">
        <f t="shared" si="49"/>
        <v>14227330</v>
      </c>
      <c r="R61" s="24">
        <v>14</v>
      </c>
      <c r="S61" s="24">
        <v>12958830</v>
      </c>
      <c r="T61" s="24">
        <v>2</v>
      </c>
      <c r="U61" s="25">
        <v>1268500</v>
      </c>
      <c r="V61" s="39">
        <f t="shared" si="50"/>
        <v>17</v>
      </c>
      <c r="W61" s="32">
        <f t="shared" si="51"/>
        <v>11925320</v>
      </c>
      <c r="X61" s="32">
        <v>11</v>
      </c>
      <c r="Y61" s="32">
        <v>6587195</v>
      </c>
      <c r="Z61" s="32">
        <v>6</v>
      </c>
      <c r="AA61" s="40">
        <v>5338125</v>
      </c>
      <c r="AB61" s="44">
        <f t="shared" si="52"/>
        <v>16</v>
      </c>
      <c r="AC61" s="24">
        <f t="shared" si="53"/>
        <v>11978830</v>
      </c>
      <c r="AD61" s="24">
        <v>13</v>
      </c>
      <c r="AE61" s="24">
        <v>11407790</v>
      </c>
      <c r="AF61" s="24">
        <v>3</v>
      </c>
      <c r="AG61" s="25">
        <v>571040</v>
      </c>
      <c r="AH61" s="39">
        <f t="shared" si="54"/>
        <v>13</v>
      </c>
      <c r="AI61" s="32">
        <f t="shared" si="54"/>
        <v>13038350</v>
      </c>
      <c r="AJ61" s="32">
        <v>9</v>
      </c>
      <c r="AK61" s="32">
        <v>8933850</v>
      </c>
      <c r="AL61" s="32">
        <v>4</v>
      </c>
      <c r="AM61" s="40">
        <v>4104500</v>
      </c>
      <c r="AN61" s="44">
        <f t="shared" si="55"/>
        <v>26</v>
      </c>
      <c r="AO61" s="24">
        <f t="shared" si="55"/>
        <v>24244370</v>
      </c>
      <c r="AP61" s="24">
        <v>20</v>
      </c>
      <c r="AQ61" s="24">
        <v>20148365</v>
      </c>
      <c r="AR61" s="24">
        <v>6</v>
      </c>
      <c r="AS61" s="25">
        <v>4096005</v>
      </c>
    </row>
    <row r="62" spans="1:95" s="67" customFormat="1" ht="86.45" customHeight="1">
      <c r="A62" s="66"/>
      <c r="B62" s="10"/>
      <c r="C62" s="10"/>
      <c r="D62" s="137" t="s">
        <v>132</v>
      </c>
      <c r="E62" s="137"/>
      <c r="F62" s="137"/>
      <c r="G62" s="137"/>
      <c r="H62" s="137"/>
      <c r="I62" s="137"/>
      <c r="J62" s="135" t="s">
        <v>145</v>
      </c>
      <c r="K62" s="136"/>
      <c r="L62" s="136"/>
      <c r="M62" s="136"/>
      <c r="N62" s="136"/>
      <c r="O62" s="136"/>
      <c r="P62" s="135" t="s">
        <v>145</v>
      </c>
      <c r="Q62" s="136"/>
      <c r="R62" s="136"/>
      <c r="S62" s="136"/>
      <c r="T62" s="136"/>
      <c r="U62" s="136"/>
      <c r="V62" s="135" t="s">
        <v>145</v>
      </c>
      <c r="W62" s="136"/>
      <c r="X62" s="136"/>
      <c r="Y62" s="136"/>
      <c r="Z62" s="136"/>
      <c r="AA62" s="136"/>
      <c r="AB62" s="135" t="s">
        <v>145</v>
      </c>
      <c r="AC62" s="136"/>
      <c r="AD62" s="136"/>
      <c r="AE62" s="136"/>
      <c r="AF62" s="136"/>
      <c r="AG62" s="136"/>
      <c r="AH62" s="136" t="s">
        <v>146</v>
      </c>
      <c r="AI62" s="136"/>
      <c r="AJ62" s="136"/>
      <c r="AK62" s="136"/>
      <c r="AL62" s="136"/>
      <c r="AM62" s="136"/>
      <c r="AN62" s="135" t="s">
        <v>147</v>
      </c>
      <c r="AO62" s="136"/>
      <c r="AP62" s="136"/>
      <c r="AQ62" s="136"/>
      <c r="AR62" s="136"/>
      <c r="AS62" s="136"/>
      <c r="AV62" s="10"/>
      <c r="BC62" s="10"/>
      <c r="BJ62" s="10"/>
      <c r="BR62" s="10"/>
      <c r="CQ62" s="10"/>
    </row>
  </sheetData>
  <mergeCells count="50">
    <mergeCell ref="AN4:AO4"/>
    <mergeCell ref="A29:A41"/>
    <mergeCell ref="B29:B41"/>
    <mergeCell ref="A42:A61"/>
    <mergeCell ref="B42:B61"/>
    <mergeCell ref="A6:A28"/>
    <mergeCell ref="B6:B28"/>
    <mergeCell ref="AB4:AC4"/>
    <mergeCell ref="AD4:AE4"/>
    <mergeCell ref="AF4:AG4"/>
    <mergeCell ref="A3:A5"/>
    <mergeCell ref="B3:C5"/>
    <mergeCell ref="V3:AA3"/>
    <mergeCell ref="V4:W4"/>
    <mergeCell ref="X4:Y4"/>
    <mergeCell ref="Z4:AA4"/>
    <mergeCell ref="AB1:AG1"/>
    <mergeCell ref="V1:AA1"/>
    <mergeCell ref="AH1:AM1"/>
    <mergeCell ref="AN1:AS1"/>
    <mergeCell ref="V62:AA62"/>
    <mergeCell ref="AB62:AG62"/>
    <mergeCell ref="AH62:AM62"/>
    <mergeCell ref="AN62:AS62"/>
    <mergeCell ref="AP4:AQ4"/>
    <mergeCell ref="AB3:AG3"/>
    <mergeCell ref="AR4:AS4"/>
    <mergeCell ref="AH3:AM3"/>
    <mergeCell ref="AN3:AS3"/>
    <mergeCell ref="AH4:AI4"/>
    <mergeCell ref="AJ4:AK4"/>
    <mergeCell ref="AL4:AM4"/>
    <mergeCell ref="P62:U62"/>
    <mergeCell ref="P1:U1"/>
    <mergeCell ref="P3:U3"/>
    <mergeCell ref="P4:Q4"/>
    <mergeCell ref="R4:S4"/>
    <mergeCell ref="T4:U4"/>
    <mergeCell ref="J62:O62"/>
    <mergeCell ref="J1:O1"/>
    <mergeCell ref="J3:O3"/>
    <mergeCell ref="J4:K4"/>
    <mergeCell ref="L4:M4"/>
    <mergeCell ref="N4:O4"/>
    <mergeCell ref="D62:I62"/>
    <mergeCell ref="D1:I1"/>
    <mergeCell ref="D3:I3"/>
    <mergeCell ref="D4:E4"/>
    <mergeCell ref="F4:G4"/>
    <mergeCell ref="H4:I4"/>
  </mergeCells>
  <phoneticPr fontId="15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P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125" style="4" customWidth="1"/>
    <col min="2" max="2" width="4.625" style="4" customWidth="1"/>
    <col min="3" max="3" width="14.75" style="6" customWidth="1"/>
    <col min="4" max="4" width="7.75" style="2" customWidth="1"/>
    <col min="5" max="5" width="12.75" style="2" customWidth="1"/>
    <col min="6" max="6" width="7.75" style="2" customWidth="1"/>
    <col min="7" max="7" width="12.75" style="2" customWidth="1"/>
    <col min="8" max="8" width="7.75" style="2" customWidth="1"/>
    <col min="9" max="9" width="12.75" style="2" customWidth="1"/>
    <col min="10" max="10" width="7.75" style="2" customWidth="1"/>
    <col min="11" max="11" width="12.75" style="2" customWidth="1"/>
    <col min="12" max="12" width="7.75" style="2" customWidth="1"/>
    <col min="13" max="13" width="12.75" style="2" customWidth="1"/>
    <col min="14" max="14" width="7.75" style="2" customWidth="1"/>
    <col min="15" max="15" width="12.75" style="2" customWidth="1"/>
    <col min="16" max="16" width="14.625" style="2" customWidth="1"/>
    <col min="17" max="17" width="9.625" style="2" customWidth="1"/>
    <col min="18" max="18" width="14.625" style="2" customWidth="1"/>
    <col min="19" max="19" width="9.625" style="2" customWidth="1"/>
    <col min="20" max="20" width="14.625" style="2" customWidth="1"/>
    <col min="21" max="16384" width="9" style="2"/>
  </cols>
  <sheetData>
    <row r="1" spans="1:20" s="73" customFormat="1" ht="42" customHeight="1">
      <c r="A1" s="28"/>
      <c r="B1" s="72"/>
      <c r="C1" s="72"/>
      <c r="D1" s="140" t="s">
        <v>127</v>
      </c>
      <c r="E1" s="141"/>
      <c r="F1" s="141"/>
      <c r="G1" s="141"/>
      <c r="H1" s="141"/>
      <c r="I1" s="141"/>
      <c r="J1" s="140" t="s">
        <v>127</v>
      </c>
      <c r="K1" s="141"/>
      <c r="L1" s="141"/>
      <c r="M1" s="141"/>
      <c r="N1" s="141"/>
      <c r="O1" s="141"/>
    </row>
    <row r="2" spans="1:20" ht="18" customHeight="1" thickBot="1"/>
    <row r="3" spans="1:20" s="6" customFormat="1" ht="23.45" customHeight="1">
      <c r="A3" s="111" t="s">
        <v>116</v>
      </c>
      <c r="B3" s="113" t="s">
        <v>63</v>
      </c>
      <c r="C3" s="114"/>
      <c r="D3" s="119" t="s">
        <v>95</v>
      </c>
      <c r="E3" s="120"/>
      <c r="F3" s="120"/>
      <c r="G3" s="120"/>
      <c r="H3" s="120"/>
      <c r="I3" s="121"/>
      <c r="J3" s="142" t="s">
        <v>91</v>
      </c>
      <c r="K3" s="143"/>
      <c r="L3" s="143"/>
      <c r="M3" s="143"/>
      <c r="N3" s="143"/>
      <c r="O3" s="144"/>
    </row>
    <row r="4" spans="1:20" s="3" customFormat="1" ht="23.45" customHeight="1">
      <c r="A4" s="112"/>
      <c r="B4" s="115"/>
      <c r="C4" s="116"/>
      <c r="D4" s="152" t="s">
        <v>92</v>
      </c>
      <c r="E4" s="153"/>
      <c r="F4" s="153" t="s">
        <v>93</v>
      </c>
      <c r="G4" s="153"/>
      <c r="H4" s="153" t="s">
        <v>94</v>
      </c>
      <c r="I4" s="154"/>
      <c r="J4" s="149" t="s">
        <v>92</v>
      </c>
      <c r="K4" s="150"/>
      <c r="L4" s="150" t="s">
        <v>93</v>
      </c>
      <c r="M4" s="150"/>
      <c r="N4" s="150" t="s">
        <v>94</v>
      </c>
      <c r="O4" s="151"/>
    </row>
    <row r="5" spans="1:20" ht="23.45" customHeight="1">
      <c r="A5" s="112"/>
      <c r="B5" s="117"/>
      <c r="C5" s="118"/>
      <c r="D5" s="33" t="s">
        <v>26</v>
      </c>
      <c r="E5" s="29" t="s">
        <v>27</v>
      </c>
      <c r="F5" s="29" t="s">
        <v>26</v>
      </c>
      <c r="G5" s="29" t="s">
        <v>27</v>
      </c>
      <c r="H5" s="29" t="s">
        <v>26</v>
      </c>
      <c r="I5" s="34" t="s">
        <v>27</v>
      </c>
      <c r="J5" s="41" t="s">
        <v>64</v>
      </c>
      <c r="K5" s="26" t="s">
        <v>65</v>
      </c>
      <c r="L5" s="26" t="s">
        <v>64</v>
      </c>
      <c r="M5" s="26" t="s">
        <v>65</v>
      </c>
      <c r="N5" s="26" t="s">
        <v>64</v>
      </c>
      <c r="O5" s="27" t="s">
        <v>65</v>
      </c>
    </row>
    <row r="6" spans="1:20" ht="24.6" customHeight="1">
      <c r="A6" s="101" t="s">
        <v>114</v>
      </c>
      <c r="B6" s="103" t="s">
        <v>66</v>
      </c>
      <c r="C6" s="45" t="s">
        <v>1</v>
      </c>
      <c r="D6" s="56">
        <f t="shared" ref="D6:I6" si="0">SUM(D7:D28)</f>
        <v>601</v>
      </c>
      <c r="E6" s="51">
        <f t="shared" si="0"/>
        <v>576595323</v>
      </c>
      <c r="F6" s="51">
        <f t="shared" si="0"/>
        <v>524</v>
      </c>
      <c r="G6" s="51">
        <f t="shared" si="0"/>
        <v>507030758</v>
      </c>
      <c r="H6" s="51">
        <f t="shared" si="0"/>
        <v>77</v>
      </c>
      <c r="I6" s="57">
        <f t="shared" si="0"/>
        <v>69564565</v>
      </c>
      <c r="J6" s="63">
        <f t="shared" ref="J6:O6" si="1">SUM(J7:J28)</f>
        <v>618</v>
      </c>
      <c r="K6" s="12">
        <f t="shared" si="1"/>
        <v>608098960</v>
      </c>
      <c r="L6" s="12">
        <f t="shared" si="1"/>
        <v>517</v>
      </c>
      <c r="M6" s="12">
        <f t="shared" si="1"/>
        <v>512422040</v>
      </c>
      <c r="N6" s="12">
        <f t="shared" si="1"/>
        <v>101</v>
      </c>
      <c r="O6" s="13">
        <f t="shared" si="1"/>
        <v>95676920</v>
      </c>
      <c r="P6" s="5"/>
      <c r="Q6" s="5"/>
      <c r="R6" s="5"/>
      <c r="S6" s="5"/>
      <c r="T6" s="5"/>
    </row>
    <row r="7" spans="1:20" ht="24.6" customHeight="1">
      <c r="A7" s="101"/>
      <c r="B7" s="104"/>
      <c r="C7" s="45" t="s">
        <v>67</v>
      </c>
      <c r="D7" s="56">
        <f t="shared" ref="D7:D28" si="2">F7+H7</f>
        <v>62</v>
      </c>
      <c r="E7" s="51">
        <f t="shared" ref="E7:E28" si="3">G7+I7</f>
        <v>62678040</v>
      </c>
      <c r="F7" s="51">
        <v>55</v>
      </c>
      <c r="G7" s="51">
        <f>55167880+368760</f>
        <v>55536640</v>
      </c>
      <c r="H7" s="51">
        <v>7</v>
      </c>
      <c r="I7" s="57">
        <v>7141400</v>
      </c>
      <c r="J7" s="63">
        <f t="shared" ref="J7:J28" si="4">L7+N7</f>
        <v>71</v>
      </c>
      <c r="K7" s="12">
        <f t="shared" ref="K7:K28" si="5">M7+O7</f>
        <v>60805544</v>
      </c>
      <c r="L7" s="12">
        <v>57</v>
      </c>
      <c r="M7" s="12">
        <v>48639294</v>
      </c>
      <c r="N7" s="12">
        <v>14</v>
      </c>
      <c r="O7" s="13">
        <v>12166250</v>
      </c>
      <c r="P7" s="5"/>
      <c r="Q7" s="5"/>
      <c r="R7" s="5"/>
      <c r="S7" s="5"/>
      <c r="T7" s="5"/>
    </row>
    <row r="8" spans="1:20" ht="24.6" customHeight="1">
      <c r="A8" s="101"/>
      <c r="B8" s="104"/>
      <c r="C8" s="45" t="s">
        <v>68</v>
      </c>
      <c r="D8" s="56">
        <f t="shared" si="2"/>
        <v>86</v>
      </c>
      <c r="E8" s="51">
        <f t="shared" si="3"/>
        <v>95024199</v>
      </c>
      <c r="F8" s="51">
        <v>74</v>
      </c>
      <c r="G8" s="51">
        <f>81325800+925764</f>
        <v>82251564</v>
      </c>
      <c r="H8" s="51">
        <v>12</v>
      </c>
      <c r="I8" s="57">
        <v>12772635</v>
      </c>
      <c r="J8" s="63">
        <f t="shared" si="4"/>
        <v>88</v>
      </c>
      <c r="K8" s="12">
        <f t="shared" si="5"/>
        <v>93655040</v>
      </c>
      <c r="L8" s="12">
        <v>71</v>
      </c>
      <c r="M8" s="12">
        <v>74104740</v>
      </c>
      <c r="N8" s="12">
        <v>17</v>
      </c>
      <c r="O8" s="13">
        <v>19550300</v>
      </c>
      <c r="P8" s="5"/>
      <c r="Q8" s="5"/>
      <c r="R8" s="5"/>
      <c r="S8" s="5"/>
      <c r="T8" s="5"/>
    </row>
    <row r="9" spans="1:20" ht="24.6" customHeight="1">
      <c r="A9" s="101"/>
      <c r="B9" s="104"/>
      <c r="C9" s="45" t="s">
        <v>69</v>
      </c>
      <c r="D9" s="56">
        <f t="shared" si="2"/>
        <v>65</v>
      </c>
      <c r="E9" s="51">
        <f t="shared" si="3"/>
        <v>48394960</v>
      </c>
      <c r="F9" s="51">
        <v>55</v>
      </c>
      <c r="G9" s="51">
        <v>39682285</v>
      </c>
      <c r="H9" s="51">
        <v>10</v>
      </c>
      <c r="I9" s="57">
        <v>8712675</v>
      </c>
      <c r="J9" s="63">
        <f t="shared" si="4"/>
        <v>90</v>
      </c>
      <c r="K9" s="12">
        <f t="shared" si="5"/>
        <v>81944655</v>
      </c>
      <c r="L9" s="12">
        <v>71</v>
      </c>
      <c r="M9" s="12">
        <v>65010690</v>
      </c>
      <c r="N9" s="12">
        <v>19</v>
      </c>
      <c r="O9" s="13">
        <v>16933965</v>
      </c>
      <c r="P9" s="5"/>
      <c r="Q9" s="5"/>
      <c r="R9" s="5"/>
      <c r="S9" s="5"/>
      <c r="T9" s="5"/>
    </row>
    <row r="10" spans="1:20" ht="24.6" customHeight="1">
      <c r="A10" s="101"/>
      <c r="B10" s="104"/>
      <c r="C10" s="45" t="s">
        <v>70</v>
      </c>
      <c r="D10" s="56">
        <f t="shared" si="2"/>
        <v>39</v>
      </c>
      <c r="E10" s="51">
        <f t="shared" si="3"/>
        <v>30526150</v>
      </c>
      <c r="F10" s="51">
        <v>32</v>
      </c>
      <c r="G10" s="51">
        <f>24880875+186480</f>
        <v>25067355</v>
      </c>
      <c r="H10" s="51">
        <v>7</v>
      </c>
      <c r="I10" s="57">
        <v>5458795</v>
      </c>
      <c r="J10" s="63">
        <f t="shared" si="4"/>
        <v>55</v>
      </c>
      <c r="K10" s="12">
        <f t="shared" si="5"/>
        <v>51990305</v>
      </c>
      <c r="L10" s="12">
        <v>46</v>
      </c>
      <c r="M10" s="12">
        <v>43075055</v>
      </c>
      <c r="N10" s="12">
        <v>9</v>
      </c>
      <c r="O10" s="13">
        <v>8915250</v>
      </c>
      <c r="P10" s="5"/>
      <c r="Q10" s="5"/>
      <c r="R10" s="5"/>
      <c r="S10" s="5"/>
      <c r="T10" s="5"/>
    </row>
    <row r="11" spans="1:20" ht="24.6" customHeight="1">
      <c r="A11" s="101"/>
      <c r="B11" s="104"/>
      <c r="C11" s="45" t="s">
        <v>71</v>
      </c>
      <c r="D11" s="56">
        <f t="shared" si="2"/>
        <v>103</v>
      </c>
      <c r="E11" s="51">
        <f t="shared" si="3"/>
        <v>97470125</v>
      </c>
      <c r="F11" s="51">
        <v>87</v>
      </c>
      <c r="G11" s="51">
        <f>81178200+2953820</f>
        <v>84132020</v>
      </c>
      <c r="H11" s="51">
        <v>16</v>
      </c>
      <c r="I11" s="57">
        <v>13338105</v>
      </c>
      <c r="J11" s="63">
        <f t="shared" si="4"/>
        <v>99</v>
      </c>
      <c r="K11" s="12">
        <f t="shared" si="5"/>
        <v>95942097</v>
      </c>
      <c r="L11" s="12">
        <v>87</v>
      </c>
      <c r="M11" s="12">
        <v>85618547</v>
      </c>
      <c r="N11" s="12">
        <v>12</v>
      </c>
      <c r="O11" s="13">
        <v>10323550</v>
      </c>
      <c r="P11" s="5"/>
      <c r="Q11" s="5"/>
      <c r="R11" s="5"/>
      <c r="S11" s="5"/>
      <c r="T11" s="5"/>
    </row>
    <row r="12" spans="1:20" ht="24.6" customHeight="1">
      <c r="A12" s="102"/>
      <c r="B12" s="105"/>
      <c r="C12" s="46" t="s">
        <v>3</v>
      </c>
      <c r="D12" s="58">
        <f t="shared" si="2"/>
        <v>22</v>
      </c>
      <c r="E12" s="52">
        <f t="shared" si="3"/>
        <v>19277167</v>
      </c>
      <c r="F12" s="52">
        <v>18</v>
      </c>
      <c r="G12" s="52">
        <f>15912600+763077</f>
        <v>16675677</v>
      </c>
      <c r="H12" s="52">
        <v>4</v>
      </c>
      <c r="I12" s="59">
        <v>2601490</v>
      </c>
      <c r="J12" s="64">
        <f t="shared" si="4"/>
        <v>16</v>
      </c>
      <c r="K12" s="14">
        <f t="shared" si="5"/>
        <v>12125272</v>
      </c>
      <c r="L12" s="14">
        <v>16</v>
      </c>
      <c r="M12" s="14">
        <v>11759272</v>
      </c>
      <c r="N12" s="14">
        <v>0</v>
      </c>
      <c r="O12" s="15">
        <v>366000</v>
      </c>
      <c r="P12" s="5"/>
      <c r="Q12" s="5"/>
      <c r="R12" s="5"/>
      <c r="S12" s="5"/>
      <c r="T12" s="5"/>
    </row>
    <row r="13" spans="1:20" ht="24.6" customHeight="1">
      <c r="A13" s="102"/>
      <c r="B13" s="105"/>
      <c r="C13" s="46" t="s">
        <v>4</v>
      </c>
      <c r="D13" s="58">
        <f t="shared" si="2"/>
        <v>62</v>
      </c>
      <c r="E13" s="52">
        <f t="shared" si="3"/>
        <v>64645920</v>
      </c>
      <c r="F13" s="52">
        <v>56</v>
      </c>
      <c r="G13" s="52">
        <v>59354585</v>
      </c>
      <c r="H13" s="52">
        <v>6</v>
      </c>
      <c r="I13" s="59">
        <v>5291335</v>
      </c>
      <c r="J13" s="64">
        <f t="shared" si="4"/>
        <v>49</v>
      </c>
      <c r="K13" s="14">
        <f t="shared" si="5"/>
        <v>58438950</v>
      </c>
      <c r="L13" s="14">
        <v>42</v>
      </c>
      <c r="M13" s="14">
        <v>51862950</v>
      </c>
      <c r="N13" s="14">
        <v>7</v>
      </c>
      <c r="O13" s="15">
        <v>6576000</v>
      </c>
      <c r="P13" s="5"/>
      <c r="Q13" s="5"/>
      <c r="R13" s="5"/>
      <c r="S13" s="5"/>
      <c r="T13" s="5"/>
    </row>
    <row r="14" spans="1:20" ht="24.6" customHeight="1">
      <c r="A14" s="102"/>
      <c r="B14" s="105"/>
      <c r="C14" s="46" t="s">
        <v>5</v>
      </c>
      <c r="D14" s="58">
        <f t="shared" si="2"/>
        <v>8</v>
      </c>
      <c r="E14" s="52">
        <f t="shared" si="3"/>
        <v>6597995</v>
      </c>
      <c r="F14" s="52">
        <v>7</v>
      </c>
      <c r="G14" s="52">
        <v>6501750</v>
      </c>
      <c r="H14" s="52">
        <v>1</v>
      </c>
      <c r="I14" s="59">
        <v>96245</v>
      </c>
      <c r="J14" s="64">
        <f t="shared" si="4"/>
        <v>13</v>
      </c>
      <c r="K14" s="14">
        <f t="shared" si="5"/>
        <v>11266545</v>
      </c>
      <c r="L14" s="14">
        <v>13</v>
      </c>
      <c r="M14" s="14">
        <v>11266545</v>
      </c>
      <c r="N14" s="14">
        <v>0</v>
      </c>
      <c r="O14" s="15">
        <v>0</v>
      </c>
      <c r="P14" s="5"/>
      <c r="Q14" s="5"/>
      <c r="R14" s="5"/>
      <c r="S14" s="5"/>
      <c r="T14" s="5"/>
    </row>
    <row r="15" spans="1:20" ht="24.6" customHeight="1">
      <c r="A15" s="102"/>
      <c r="B15" s="105"/>
      <c r="C15" s="46" t="s">
        <v>6</v>
      </c>
      <c r="D15" s="58">
        <f t="shared" si="2"/>
        <v>22</v>
      </c>
      <c r="E15" s="52">
        <f t="shared" si="3"/>
        <v>16460615</v>
      </c>
      <c r="F15" s="52">
        <v>20</v>
      </c>
      <c r="G15" s="52">
        <v>15398615</v>
      </c>
      <c r="H15" s="52">
        <v>2</v>
      </c>
      <c r="I15" s="59">
        <v>1062000</v>
      </c>
      <c r="J15" s="64">
        <f t="shared" si="4"/>
        <v>8</v>
      </c>
      <c r="K15" s="14">
        <f t="shared" si="5"/>
        <v>10473300</v>
      </c>
      <c r="L15" s="14">
        <v>7</v>
      </c>
      <c r="M15" s="14">
        <v>10321800</v>
      </c>
      <c r="N15" s="14">
        <v>1</v>
      </c>
      <c r="O15" s="15">
        <v>151500</v>
      </c>
      <c r="P15" s="5"/>
      <c r="Q15" s="5"/>
      <c r="R15" s="5"/>
      <c r="S15" s="5"/>
      <c r="T15" s="5"/>
    </row>
    <row r="16" spans="1:20" ht="24.6" customHeight="1">
      <c r="A16" s="102"/>
      <c r="B16" s="105"/>
      <c r="C16" s="46" t="s">
        <v>8</v>
      </c>
      <c r="D16" s="58">
        <f t="shared" si="2"/>
        <v>26</v>
      </c>
      <c r="E16" s="52">
        <f t="shared" si="3"/>
        <v>26211535</v>
      </c>
      <c r="F16" s="52">
        <v>24</v>
      </c>
      <c r="G16" s="52">
        <v>23947135</v>
      </c>
      <c r="H16" s="52">
        <v>2</v>
      </c>
      <c r="I16" s="59">
        <v>2264400</v>
      </c>
      <c r="J16" s="64">
        <f t="shared" si="4"/>
        <v>26</v>
      </c>
      <c r="K16" s="14">
        <f t="shared" si="5"/>
        <v>22676050</v>
      </c>
      <c r="L16" s="14">
        <v>23</v>
      </c>
      <c r="M16" s="14">
        <v>20209045</v>
      </c>
      <c r="N16" s="14">
        <v>3</v>
      </c>
      <c r="O16" s="15">
        <v>2467005</v>
      </c>
      <c r="P16" s="5"/>
      <c r="Q16" s="5"/>
      <c r="R16" s="5"/>
      <c r="S16" s="5"/>
      <c r="T16" s="5"/>
    </row>
    <row r="17" spans="1:20" ht="24.6" customHeight="1">
      <c r="A17" s="102"/>
      <c r="B17" s="105"/>
      <c r="C17" s="46" t="s">
        <v>9</v>
      </c>
      <c r="D17" s="58">
        <f t="shared" si="2"/>
        <v>11</v>
      </c>
      <c r="E17" s="52">
        <f t="shared" si="3"/>
        <v>11798450</v>
      </c>
      <c r="F17" s="52">
        <v>11</v>
      </c>
      <c r="G17" s="52">
        <v>11798450</v>
      </c>
      <c r="H17" s="52">
        <v>0</v>
      </c>
      <c r="I17" s="59">
        <v>0</v>
      </c>
      <c r="J17" s="64">
        <f t="shared" si="4"/>
        <v>13</v>
      </c>
      <c r="K17" s="14">
        <f t="shared" si="5"/>
        <v>13696645</v>
      </c>
      <c r="L17" s="14">
        <v>11</v>
      </c>
      <c r="M17" s="14">
        <v>12857695</v>
      </c>
      <c r="N17" s="14">
        <v>2</v>
      </c>
      <c r="O17" s="15">
        <v>838950</v>
      </c>
      <c r="P17" s="5"/>
      <c r="Q17" s="5"/>
      <c r="R17" s="5"/>
      <c r="S17" s="5"/>
      <c r="T17" s="5"/>
    </row>
    <row r="18" spans="1:20" ht="24.6" customHeight="1">
      <c r="A18" s="102"/>
      <c r="B18" s="105"/>
      <c r="C18" s="46" t="s">
        <v>10</v>
      </c>
      <c r="D18" s="58">
        <f t="shared" si="2"/>
        <v>15</v>
      </c>
      <c r="E18" s="52">
        <f t="shared" si="3"/>
        <v>13497090</v>
      </c>
      <c r="F18" s="52">
        <v>11</v>
      </c>
      <c r="G18" s="52">
        <v>9291840</v>
      </c>
      <c r="H18" s="52">
        <v>4</v>
      </c>
      <c r="I18" s="59">
        <v>4205250</v>
      </c>
      <c r="J18" s="64">
        <f t="shared" si="4"/>
        <v>23</v>
      </c>
      <c r="K18" s="14">
        <f t="shared" si="5"/>
        <v>23229485</v>
      </c>
      <c r="L18" s="14">
        <v>19</v>
      </c>
      <c r="M18" s="14">
        <v>20315135</v>
      </c>
      <c r="N18" s="14">
        <v>4</v>
      </c>
      <c r="O18" s="15">
        <v>2914350</v>
      </c>
      <c r="P18" s="5"/>
      <c r="Q18" s="5"/>
      <c r="R18" s="5"/>
      <c r="S18" s="5"/>
      <c r="T18" s="5"/>
    </row>
    <row r="19" spans="1:20" ht="24.6" customHeight="1">
      <c r="A19" s="102"/>
      <c r="B19" s="105"/>
      <c r="C19" s="46" t="s">
        <v>11</v>
      </c>
      <c r="D19" s="58">
        <f t="shared" si="2"/>
        <v>10</v>
      </c>
      <c r="E19" s="52">
        <f t="shared" si="3"/>
        <v>7732000</v>
      </c>
      <c r="F19" s="52">
        <v>10</v>
      </c>
      <c r="G19" s="52">
        <v>7732000</v>
      </c>
      <c r="H19" s="52">
        <v>0</v>
      </c>
      <c r="I19" s="59">
        <v>0</v>
      </c>
      <c r="J19" s="64">
        <f t="shared" si="4"/>
        <v>8</v>
      </c>
      <c r="K19" s="14">
        <f t="shared" si="5"/>
        <v>6769000</v>
      </c>
      <c r="L19" s="14">
        <v>7</v>
      </c>
      <c r="M19" s="14">
        <v>5050000</v>
      </c>
      <c r="N19" s="14">
        <v>1</v>
      </c>
      <c r="O19" s="15">
        <v>1719000</v>
      </c>
      <c r="P19" s="5"/>
      <c r="Q19" s="5"/>
      <c r="R19" s="5"/>
      <c r="S19" s="5"/>
      <c r="T19" s="5"/>
    </row>
    <row r="20" spans="1:20" ht="24.6" customHeight="1">
      <c r="A20" s="102"/>
      <c r="B20" s="105"/>
      <c r="C20" s="46" t="s">
        <v>14</v>
      </c>
      <c r="D20" s="58">
        <f t="shared" si="2"/>
        <v>25</v>
      </c>
      <c r="E20" s="52">
        <f t="shared" si="3"/>
        <v>25910935</v>
      </c>
      <c r="F20" s="52">
        <v>25</v>
      </c>
      <c r="G20" s="52">
        <f>22598395+3312540</f>
        <v>25910935</v>
      </c>
      <c r="H20" s="52">
        <v>0</v>
      </c>
      <c r="I20" s="59">
        <v>0</v>
      </c>
      <c r="J20" s="64">
        <f t="shared" si="4"/>
        <v>19</v>
      </c>
      <c r="K20" s="14">
        <f t="shared" si="5"/>
        <v>27234645</v>
      </c>
      <c r="L20" s="14">
        <v>14</v>
      </c>
      <c r="M20" s="14">
        <v>20805045</v>
      </c>
      <c r="N20" s="14">
        <v>5</v>
      </c>
      <c r="O20" s="15">
        <v>6429600</v>
      </c>
      <c r="P20" s="5"/>
      <c r="Q20" s="5"/>
      <c r="R20" s="5"/>
      <c r="S20" s="5"/>
      <c r="T20" s="5"/>
    </row>
    <row r="21" spans="1:20" ht="24.6" customHeight="1">
      <c r="A21" s="102"/>
      <c r="B21" s="105"/>
      <c r="C21" s="46" t="s">
        <v>15</v>
      </c>
      <c r="D21" s="58">
        <f t="shared" si="2"/>
        <v>4</v>
      </c>
      <c r="E21" s="52">
        <f t="shared" si="3"/>
        <v>4708260</v>
      </c>
      <c r="F21" s="52">
        <v>4</v>
      </c>
      <c r="G21" s="52">
        <f>4203000+505260</f>
        <v>4708260</v>
      </c>
      <c r="H21" s="52">
        <v>0</v>
      </c>
      <c r="I21" s="59">
        <v>0</v>
      </c>
      <c r="J21" s="64">
        <f t="shared" si="4"/>
        <v>4</v>
      </c>
      <c r="K21" s="14">
        <f t="shared" si="5"/>
        <v>3810770</v>
      </c>
      <c r="L21" s="14">
        <v>4</v>
      </c>
      <c r="M21" s="14">
        <v>3810770</v>
      </c>
      <c r="N21" s="14">
        <v>0</v>
      </c>
      <c r="O21" s="15">
        <v>0</v>
      </c>
      <c r="P21" s="5"/>
      <c r="Q21" s="5"/>
      <c r="R21" s="5"/>
      <c r="S21" s="5"/>
      <c r="T21" s="5"/>
    </row>
    <row r="22" spans="1:20" ht="24.6" customHeight="1">
      <c r="A22" s="102"/>
      <c r="B22" s="105"/>
      <c r="C22" s="46" t="s">
        <v>16</v>
      </c>
      <c r="D22" s="58">
        <f t="shared" si="2"/>
        <v>11</v>
      </c>
      <c r="E22" s="52">
        <f t="shared" si="3"/>
        <v>12767595</v>
      </c>
      <c r="F22" s="52">
        <v>10</v>
      </c>
      <c r="G22" s="52">
        <v>11633595</v>
      </c>
      <c r="H22" s="52">
        <v>1</v>
      </c>
      <c r="I22" s="59">
        <v>1134000</v>
      </c>
      <c r="J22" s="64">
        <f t="shared" si="4"/>
        <v>5</v>
      </c>
      <c r="K22" s="14">
        <f t="shared" si="5"/>
        <v>4921200</v>
      </c>
      <c r="L22" s="14">
        <v>2</v>
      </c>
      <c r="M22" s="14">
        <v>2033100</v>
      </c>
      <c r="N22" s="14">
        <v>3</v>
      </c>
      <c r="O22" s="15">
        <v>2888100</v>
      </c>
      <c r="P22" s="5"/>
      <c r="Q22" s="5"/>
      <c r="R22" s="5"/>
      <c r="S22" s="5"/>
      <c r="T22" s="5"/>
    </row>
    <row r="23" spans="1:20" ht="24.6" customHeight="1">
      <c r="A23" s="102"/>
      <c r="B23" s="105"/>
      <c r="C23" s="46" t="s">
        <v>17</v>
      </c>
      <c r="D23" s="58">
        <f t="shared" si="2"/>
        <v>0</v>
      </c>
      <c r="E23" s="52">
        <f t="shared" si="3"/>
        <v>1191162</v>
      </c>
      <c r="F23" s="52">
        <v>0</v>
      </c>
      <c r="G23" s="52">
        <v>1191162</v>
      </c>
      <c r="H23" s="52">
        <v>0</v>
      </c>
      <c r="I23" s="59">
        <v>0</v>
      </c>
      <c r="J23" s="64">
        <f t="shared" si="4"/>
        <v>3</v>
      </c>
      <c r="K23" s="14">
        <f t="shared" si="5"/>
        <v>4243017</v>
      </c>
      <c r="L23" s="14">
        <v>3</v>
      </c>
      <c r="M23" s="14">
        <v>4243017</v>
      </c>
      <c r="N23" s="14">
        <v>0</v>
      </c>
      <c r="O23" s="15">
        <v>0</v>
      </c>
      <c r="P23" s="5"/>
      <c r="Q23" s="5"/>
      <c r="R23" s="5"/>
      <c r="S23" s="5"/>
      <c r="T23" s="5"/>
    </row>
    <row r="24" spans="1:20" ht="24.6" customHeight="1">
      <c r="A24" s="102"/>
      <c r="B24" s="105"/>
      <c r="C24" s="46" t="s">
        <v>18</v>
      </c>
      <c r="D24" s="58">
        <f t="shared" si="2"/>
        <v>5</v>
      </c>
      <c r="E24" s="52">
        <f t="shared" si="3"/>
        <v>4928070</v>
      </c>
      <c r="F24" s="52">
        <v>4</v>
      </c>
      <c r="G24" s="52">
        <f>3571500+276570</f>
        <v>3848070</v>
      </c>
      <c r="H24" s="52">
        <v>1</v>
      </c>
      <c r="I24" s="59">
        <v>1080000</v>
      </c>
      <c r="J24" s="64">
        <f t="shared" si="4"/>
        <v>9</v>
      </c>
      <c r="K24" s="14">
        <f t="shared" si="5"/>
        <v>8096340</v>
      </c>
      <c r="L24" s="14">
        <v>9</v>
      </c>
      <c r="M24" s="14">
        <v>8096340</v>
      </c>
      <c r="N24" s="14">
        <v>0</v>
      </c>
      <c r="O24" s="15">
        <v>0</v>
      </c>
      <c r="P24" s="5"/>
      <c r="Q24" s="5"/>
      <c r="R24" s="5"/>
      <c r="S24" s="5"/>
      <c r="T24" s="5"/>
    </row>
    <row r="25" spans="1:20" ht="24.6" customHeight="1">
      <c r="A25" s="102"/>
      <c r="B25" s="105"/>
      <c r="C25" s="46" t="s">
        <v>19</v>
      </c>
      <c r="D25" s="58">
        <f t="shared" si="2"/>
        <v>11</v>
      </c>
      <c r="E25" s="52">
        <f t="shared" si="3"/>
        <v>13171850</v>
      </c>
      <c r="F25" s="52">
        <v>9</v>
      </c>
      <c r="G25" s="52">
        <v>11017115</v>
      </c>
      <c r="H25" s="52">
        <v>2</v>
      </c>
      <c r="I25" s="59">
        <v>2154735</v>
      </c>
      <c r="J25" s="64">
        <f t="shared" si="4"/>
        <v>10</v>
      </c>
      <c r="K25" s="14">
        <f t="shared" si="5"/>
        <v>10722900</v>
      </c>
      <c r="L25" s="14">
        <v>10</v>
      </c>
      <c r="M25" s="14">
        <v>10722900</v>
      </c>
      <c r="N25" s="14">
        <v>0</v>
      </c>
      <c r="O25" s="15">
        <v>0</v>
      </c>
      <c r="P25" s="5"/>
      <c r="Q25" s="5"/>
      <c r="R25" s="5"/>
      <c r="S25" s="5"/>
      <c r="T25" s="5"/>
    </row>
    <row r="26" spans="1:20" ht="24.6" customHeight="1">
      <c r="A26" s="102"/>
      <c r="B26" s="105"/>
      <c r="C26" s="46" t="s">
        <v>21</v>
      </c>
      <c r="D26" s="58">
        <f t="shared" si="2"/>
        <v>13</v>
      </c>
      <c r="E26" s="52">
        <f t="shared" si="3"/>
        <v>12543905</v>
      </c>
      <c r="F26" s="52">
        <v>11</v>
      </c>
      <c r="G26" s="52">
        <v>10292405</v>
      </c>
      <c r="H26" s="52">
        <v>2</v>
      </c>
      <c r="I26" s="59">
        <v>2251500</v>
      </c>
      <c r="J26" s="64">
        <f t="shared" si="4"/>
        <v>8</v>
      </c>
      <c r="K26" s="14">
        <f t="shared" si="5"/>
        <v>5239100</v>
      </c>
      <c r="L26" s="14">
        <v>4</v>
      </c>
      <c r="M26" s="14">
        <v>1802000</v>
      </c>
      <c r="N26" s="14">
        <v>4</v>
      </c>
      <c r="O26" s="15">
        <v>3437100</v>
      </c>
      <c r="P26" s="5"/>
      <c r="Q26" s="5"/>
      <c r="R26" s="5"/>
      <c r="S26" s="5"/>
      <c r="T26" s="5"/>
    </row>
    <row r="27" spans="1:20" ht="24.6" customHeight="1">
      <c r="A27" s="102"/>
      <c r="B27" s="105"/>
      <c r="C27" s="46" t="s">
        <v>23</v>
      </c>
      <c r="D27" s="58">
        <f t="shared" si="2"/>
        <v>1</v>
      </c>
      <c r="E27" s="52">
        <f t="shared" si="3"/>
        <v>1059300</v>
      </c>
      <c r="F27" s="52">
        <v>1</v>
      </c>
      <c r="G27" s="52">
        <v>1059300</v>
      </c>
      <c r="H27" s="52">
        <v>0</v>
      </c>
      <c r="I27" s="60">
        <v>0</v>
      </c>
      <c r="J27" s="64">
        <f t="shared" si="4"/>
        <v>1</v>
      </c>
      <c r="K27" s="14">
        <f t="shared" si="5"/>
        <v>818100</v>
      </c>
      <c r="L27" s="14">
        <v>1</v>
      </c>
      <c r="M27" s="14">
        <v>818100</v>
      </c>
      <c r="N27" s="14">
        <v>0</v>
      </c>
      <c r="O27" s="18">
        <v>0</v>
      </c>
      <c r="P27" s="5"/>
      <c r="Q27" s="5"/>
      <c r="R27" s="5"/>
      <c r="S27" s="5"/>
      <c r="T27" s="5"/>
    </row>
    <row r="28" spans="1:20" ht="24.6" customHeight="1">
      <c r="A28" s="102"/>
      <c r="B28" s="105"/>
      <c r="C28" s="46" t="s">
        <v>24</v>
      </c>
      <c r="D28" s="58">
        <f t="shared" si="2"/>
        <v>0</v>
      </c>
      <c r="E28" s="52">
        <f t="shared" si="3"/>
        <v>0</v>
      </c>
      <c r="F28" s="52">
        <v>0</v>
      </c>
      <c r="G28" s="52">
        <v>0</v>
      </c>
      <c r="H28" s="52">
        <v>0</v>
      </c>
      <c r="I28" s="60">
        <v>0</v>
      </c>
      <c r="J28" s="64">
        <f t="shared" si="4"/>
        <v>0</v>
      </c>
      <c r="K28" s="14">
        <f t="shared" si="5"/>
        <v>0</v>
      </c>
      <c r="L28" s="14">
        <v>0</v>
      </c>
      <c r="M28" s="14">
        <v>0</v>
      </c>
      <c r="N28" s="14">
        <v>0</v>
      </c>
      <c r="O28" s="18">
        <v>0</v>
      </c>
      <c r="P28" s="5"/>
      <c r="Q28" s="5"/>
      <c r="R28" s="5"/>
      <c r="S28" s="5"/>
      <c r="T28" s="5"/>
    </row>
    <row r="29" spans="1:20" ht="27" customHeight="1">
      <c r="A29" s="101" t="s">
        <v>114</v>
      </c>
      <c r="B29" s="103" t="s">
        <v>84</v>
      </c>
      <c r="C29" s="45" t="s">
        <v>1</v>
      </c>
      <c r="D29" s="56">
        <f t="shared" ref="D29:I29" si="6">SUM(D30:D41)</f>
        <v>601</v>
      </c>
      <c r="E29" s="51">
        <f t="shared" si="6"/>
        <v>576595323</v>
      </c>
      <c r="F29" s="51">
        <f t="shared" si="6"/>
        <v>524</v>
      </c>
      <c r="G29" s="51">
        <f t="shared" si="6"/>
        <v>507030758</v>
      </c>
      <c r="H29" s="51">
        <f t="shared" si="6"/>
        <v>77</v>
      </c>
      <c r="I29" s="57">
        <f t="shared" si="6"/>
        <v>69564565</v>
      </c>
      <c r="J29" s="63">
        <f t="shared" ref="J29:O29" si="7">SUM(J30:J41)</f>
        <v>618</v>
      </c>
      <c r="K29" s="12">
        <f t="shared" si="7"/>
        <v>608098960</v>
      </c>
      <c r="L29" s="12">
        <f t="shared" si="7"/>
        <v>517</v>
      </c>
      <c r="M29" s="12">
        <f t="shared" si="7"/>
        <v>512422040</v>
      </c>
      <c r="N29" s="12">
        <f t="shared" si="7"/>
        <v>101</v>
      </c>
      <c r="O29" s="13">
        <f t="shared" si="7"/>
        <v>95676920</v>
      </c>
      <c r="P29" s="5"/>
      <c r="Q29" s="5"/>
      <c r="R29" s="5"/>
      <c r="S29" s="5"/>
      <c r="T29" s="5"/>
    </row>
    <row r="30" spans="1:20" ht="27" customHeight="1">
      <c r="A30" s="106"/>
      <c r="B30" s="107"/>
      <c r="C30" s="46" t="s">
        <v>72</v>
      </c>
      <c r="D30" s="58">
        <f t="shared" ref="D30:D41" si="8">F30+H30</f>
        <v>0</v>
      </c>
      <c r="E30" s="52">
        <f t="shared" ref="E30:E41" si="9">G30+I30</f>
        <v>0</v>
      </c>
      <c r="F30" s="52">
        <v>0</v>
      </c>
      <c r="G30" s="52">
        <v>0</v>
      </c>
      <c r="H30" s="52">
        <v>0</v>
      </c>
      <c r="I30" s="59">
        <v>0</v>
      </c>
      <c r="J30" s="64">
        <f t="shared" ref="J30:J41" si="10">L30+N30</f>
        <v>0</v>
      </c>
      <c r="K30" s="14">
        <f t="shared" ref="K30:K41" si="11">M30+O30</f>
        <v>0</v>
      </c>
      <c r="L30" s="14">
        <v>0</v>
      </c>
      <c r="M30" s="14">
        <v>0</v>
      </c>
      <c r="N30" s="14">
        <v>0</v>
      </c>
      <c r="O30" s="15">
        <v>0</v>
      </c>
      <c r="P30" s="5"/>
      <c r="Q30" s="5"/>
      <c r="R30" s="5"/>
      <c r="S30" s="5"/>
      <c r="T30" s="5"/>
    </row>
    <row r="31" spans="1:20" ht="27" customHeight="1">
      <c r="A31" s="106"/>
      <c r="B31" s="107"/>
      <c r="C31" s="47" t="s">
        <v>34</v>
      </c>
      <c r="D31" s="58">
        <f t="shared" si="8"/>
        <v>25</v>
      </c>
      <c r="E31" s="52">
        <f t="shared" si="9"/>
        <v>4836570</v>
      </c>
      <c r="F31" s="52">
        <v>18</v>
      </c>
      <c r="G31" s="52">
        <v>3564850</v>
      </c>
      <c r="H31" s="52">
        <v>7</v>
      </c>
      <c r="I31" s="59">
        <v>1271720</v>
      </c>
      <c r="J31" s="64">
        <f t="shared" si="10"/>
        <v>15</v>
      </c>
      <c r="K31" s="14">
        <f t="shared" si="11"/>
        <v>2306950</v>
      </c>
      <c r="L31" s="14">
        <v>12</v>
      </c>
      <c r="M31" s="14">
        <v>1843650</v>
      </c>
      <c r="N31" s="14">
        <v>3</v>
      </c>
      <c r="O31" s="15">
        <v>463300</v>
      </c>
      <c r="P31" s="5"/>
      <c r="Q31" s="5"/>
      <c r="R31" s="5"/>
      <c r="S31" s="5"/>
      <c r="T31" s="5"/>
    </row>
    <row r="32" spans="1:20" ht="27" customHeight="1">
      <c r="A32" s="106"/>
      <c r="B32" s="107"/>
      <c r="C32" s="47" t="s">
        <v>35</v>
      </c>
      <c r="D32" s="58">
        <f t="shared" si="8"/>
        <v>52</v>
      </c>
      <c r="E32" s="52">
        <f t="shared" si="9"/>
        <v>27602479</v>
      </c>
      <c r="F32" s="52">
        <v>46</v>
      </c>
      <c r="G32" s="52">
        <f>23060705+971964</f>
        <v>24032669</v>
      </c>
      <c r="H32" s="52">
        <v>6</v>
      </c>
      <c r="I32" s="59">
        <v>3569810</v>
      </c>
      <c r="J32" s="64">
        <f t="shared" si="10"/>
        <v>54</v>
      </c>
      <c r="K32" s="14">
        <f t="shared" si="11"/>
        <v>29098623</v>
      </c>
      <c r="L32" s="14">
        <v>40</v>
      </c>
      <c r="M32" s="14">
        <v>21072173</v>
      </c>
      <c r="N32" s="14">
        <v>14</v>
      </c>
      <c r="O32" s="15">
        <v>8026450</v>
      </c>
      <c r="P32" s="5"/>
      <c r="Q32" s="5"/>
      <c r="R32" s="5"/>
      <c r="S32" s="5"/>
      <c r="T32" s="5"/>
    </row>
    <row r="33" spans="1:20" ht="27" customHeight="1">
      <c r="A33" s="106"/>
      <c r="B33" s="107"/>
      <c r="C33" s="47" t="s">
        <v>36</v>
      </c>
      <c r="D33" s="58">
        <f t="shared" si="8"/>
        <v>56</v>
      </c>
      <c r="E33" s="52">
        <f t="shared" si="9"/>
        <v>41360767</v>
      </c>
      <c r="F33" s="52">
        <v>46</v>
      </c>
      <c r="G33" s="52">
        <f>31787410+145152</f>
        <v>31932562</v>
      </c>
      <c r="H33" s="52">
        <v>10</v>
      </c>
      <c r="I33" s="59">
        <v>9428205</v>
      </c>
      <c r="J33" s="64">
        <f t="shared" si="10"/>
        <v>52</v>
      </c>
      <c r="K33" s="14">
        <f t="shared" si="11"/>
        <v>44083082</v>
      </c>
      <c r="L33" s="14">
        <v>45</v>
      </c>
      <c r="M33" s="14">
        <v>36924277</v>
      </c>
      <c r="N33" s="14">
        <v>7</v>
      </c>
      <c r="O33" s="15">
        <v>7158805</v>
      </c>
      <c r="P33" s="5"/>
      <c r="Q33" s="5"/>
      <c r="R33" s="5"/>
      <c r="S33" s="5"/>
      <c r="T33" s="5"/>
    </row>
    <row r="34" spans="1:20" ht="27" customHeight="1">
      <c r="A34" s="106"/>
      <c r="B34" s="107"/>
      <c r="C34" s="47" t="s">
        <v>37</v>
      </c>
      <c r="D34" s="58">
        <f t="shared" si="8"/>
        <v>49</v>
      </c>
      <c r="E34" s="52">
        <f t="shared" si="9"/>
        <v>54865810</v>
      </c>
      <c r="F34" s="52">
        <v>41</v>
      </c>
      <c r="G34" s="52">
        <f>45413845+1269555</f>
        <v>46683400</v>
      </c>
      <c r="H34" s="52">
        <v>8</v>
      </c>
      <c r="I34" s="59">
        <v>8182410</v>
      </c>
      <c r="J34" s="64">
        <f t="shared" si="10"/>
        <v>64</v>
      </c>
      <c r="K34" s="14">
        <f t="shared" si="11"/>
        <v>72364155</v>
      </c>
      <c r="L34" s="14">
        <v>52</v>
      </c>
      <c r="M34" s="14">
        <v>59556555</v>
      </c>
      <c r="N34" s="14">
        <v>12</v>
      </c>
      <c r="O34" s="15">
        <v>12807600</v>
      </c>
      <c r="P34" s="5"/>
      <c r="Q34" s="5"/>
      <c r="R34" s="5"/>
      <c r="S34" s="5"/>
      <c r="T34" s="5"/>
    </row>
    <row r="35" spans="1:20" ht="27" customHeight="1">
      <c r="A35" s="106"/>
      <c r="B35" s="107"/>
      <c r="C35" s="47" t="s">
        <v>38</v>
      </c>
      <c r="D35" s="58">
        <f t="shared" si="8"/>
        <v>63</v>
      </c>
      <c r="E35" s="52">
        <f t="shared" si="9"/>
        <v>61743381</v>
      </c>
      <c r="F35" s="52">
        <f>58-2</f>
        <v>56</v>
      </c>
      <c r="G35" s="52">
        <f>55140505+1009496</f>
        <v>56150001</v>
      </c>
      <c r="H35" s="52">
        <v>7</v>
      </c>
      <c r="I35" s="59">
        <v>5593380</v>
      </c>
      <c r="J35" s="64">
        <f t="shared" si="10"/>
        <v>61</v>
      </c>
      <c r="K35" s="14">
        <f t="shared" si="11"/>
        <v>55436542</v>
      </c>
      <c r="L35" s="14">
        <v>53</v>
      </c>
      <c r="M35" s="14">
        <v>49617292</v>
      </c>
      <c r="N35" s="14">
        <v>8</v>
      </c>
      <c r="O35" s="15">
        <v>5819250</v>
      </c>
      <c r="P35" s="5"/>
      <c r="Q35" s="5"/>
      <c r="R35" s="5"/>
      <c r="S35" s="5"/>
      <c r="T35" s="5"/>
    </row>
    <row r="36" spans="1:20" ht="27" customHeight="1">
      <c r="A36" s="106"/>
      <c r="B36" s="107"/>
      <c r="C36" s="47" t="s">
        <v>39</v>
      </c>
      <c r="D36" s="58">
        <f t="shared" si="8"/>
        <v>64</v>
      </c>
      <c r="E36" s="52">
        <f t="shared" si="9"/>
        <v>60512652</v>
      </c>
      <c r="F36" s="52">
        <f>59+3</f>
        <v>62</v>
      </c>
      <c r="G36" s="52">
        <f>56146140+2332512</f>
        <v>58478652</v>
      </c>
      <c r="H36" s="52">
        <v>2</v>
      </c>
      <c r="I36" s="59">
        <v>2034000</v>
      </c>
      <c r="J36" s="64">
        <f t="shared" si="10"/>
        <v>61</v>
      </c>
      <c r="K36" s="14">
        <f t="shared" si="11"/>
        <v>55632691</v>
      </c>
      <c r="L36" s="14">
        <v>52</v>
      </c>
      <c r="M36" s="14">
        <v>45551341</v>
      </c>
      <c r="N36" s="14">
        <v>9</v>
      </c>
      <c r="O36" s="15">
        <v>10081350</v>
      </c>
      <c r="P36" s="5"/>
      <c r="Q36" s="5"/>
      <c r="R36" s="5"/>
      <c r="S36" s="5"/>
      <c r="T36" s="5"/>
    </row>
    <row r="37" spans="1:20" ht="27" customHeight="1">
      <c r="A37" s="106"/>
      <c r="B37" s="107"/>
      <c r="C37" s="47" t="s">
        <v>40</v>
      </c>
      <c r="D37" s="58">
        <f t="shared" si="8"/>
        <v>69</v>
      </c>
      <c r="E37" s="52">
        <f t="shared" si="9"/>
        <v>62939869</v>
      </c>
      <c r="F37" s="52">
        <v>60</v>
      </c>
      <c r="G37" s="52">
        <f>52840690+1302564</f>
        <v>54143254</v>
      </c>
      <c r="H37" s="52">
        <v>9</v>
      </c>
      <c r="I37" s="59">
        <v>8796615</v>
      </c>
      <c r="J37" s="64">
        <f t="shared" si="10"/>
        <v>78</v>
      </c>
      <c r="K37" s="14">
        <f t="shared" si="11"/>
        <v>82552941</v>
      </c>
      <c r="L37" s="14">
        <v>67</v>
      </c>
      <c r="M37" s="14">
        <v>70594491</v>
      </c>
      <c r="N37" s="14">
        <v>11</v>
      </c>
      <c r="O37" s="15">
        <v>11958450</v>
      </c>
      <c r="P37" s="5"/>
      <c r="Q37" s="5"/>
      <c r="R37" s="5"/>
      <c r="S37" s="5"/>
      <c r="T37" s="5"/>
    </row>
    <row r="38" spans="1:20" ht="27" customHeight="1">
      <c r="A38" s="106"/>
      <c r="B38" s="107"/>
      <c r="C38" s="47" t="s">
        <v>41</v>
      </c>
      <c r="D38" s="58">
        <f t="shared" si="8"/>
        <v>83</v>
      </c>
      <c r="E38" s="52">
        <f t="shared" si="9"/>
        <v>91641975</v>
      </c>
      <c r="F38" s="52">
        <v>67</v>
      </c>
      <c r="G38" s="52">
        <f>70795685+1967070</f>
        <v>72762755</v>
      </c>
      <c r="H38" s="52">
        <v>16</v>
      </c>
      <c r="I38" s="59">
        <v>18879220</v>
      </c>
      <c r="J38" s="64">
        <f t="shared" si="10"/>
        <v>102</v>
      </c>
      <c r="K38" s="14">
        <f t="shared" si="11"/>
        <v>119276371</v>
      </c>
      <c r="L38" s="14">
        <v>82</v>
      </c>
      <c r="M38" s="14">
        <v>97196906</v>
      </c>
      <c r="N38" s="14">
        <v>20</v>
      </c>
      <c r="O38" s="15">
        <v>22079465</v>
      </c>
      <c r="P38" s="5"/>
      <c r="Q38" s="5"/>
      <c r="R38" s="5"/>
      <c r="S38" s="5"/>
      <c r="T38" s="5"/>
    </row>
    <row r="39" spans="1:20" ht="27" customHeight="1">
      <c r="A39" s="106"/>
      <c r="B39" s="107"/>
      <c r="C39" s="47" t="s">
        <v>42</v>
      </c>
      <c r="D39" s="58">
        <f t="shared" si="8"/>
        <v>74</v>
      </c>
      <c r="E39" s="52">
        <f t="shared" si="9"/>
        <v>93161280</v>
      </c>
      <c r="F39" s="52">
        <f>64+1</f>
        <v>65</v>
      </c>
      <c r="G39" s="52">
        <f>82410935+1451100</f>
        <v>83862035</v>
      </c>
      <c r="H39" s="52">
        <v>9</v>
      </c>
      <c r="I39" s="59">
        <v>9299245</v>
      </c>
      <c r="J39" s="64">
        <f t="shared" si="10"/>
        <v>68</v>
      </c>
      <c r="K39" s="14">
        <f t="shared" si="11"/>
        <v>80085940</v>
      </c>
      <c r="L39" s="14">
        <v>55</v>
      </c>
      <c r="M39" s="14">
        <v>64911390</v>
      </c>
      <c r="N39" s="14">
        <v>13</v>
      </c>
      <c r="O39" s="15">
        <v>15174550</v>
      </c>
      <c r="P39" s="5"/>
      <c r="Q39" s="5"/>
      <c r="R39" s="5"/>
      <c r="S39" s="5"/>
      <c r="T39" s="5"/>
    </row>
    <row r="40" spans="1:20" ht="27" customHeight="1">
      <c r="A40" s="106"/>
      <c r="B40" s="107"/>
      <c r="C40" s="47" t="s">
        <v>43</v>
      </c>
      <c r="D40" s="58">
        <f t="shared" si="8"/>
        <v>47</v>
      </c>
      <c r="E40" s="52">
        <f t="shared" si="9"/>
        <v>57016555</v>
      </c>
      <c r="F40" s="52">
        <v>45</v>
      </c>
      <c r="G40" s="52">
        <f>55348575+34020</f>
        <v>55382595</v>
      </c>
      <c r="H40" s="52">
        <v>2</v>
      </c>
      <c r="I40" s="59">
        <v>1633960</v>
      </c>
      <c r="J40" s="64">
        <f t="shared" si="10"/>
        <v>53</v>
      </c>
      <c r="K40" s="14">
        <f t="shared" si="11"/>
        <v>57317265</v>
      </c>
      <c r="L40" s="14">
        <v>51</v>
      </c>
      <c r="M40" s="14">
        <v>56946265</v>
      </c>
      <c r="N40" s="14">
        <v>2</v>
      </c>
      <c r="O40" s="15">
        <v>371000</v>
      </c>
      <c r="P40" s="5"/>
      <c r="Q40" s="5"/>
      <c r="R40" s="5"/>
      <c r="S40" s="5"/>
      <c r="T40" s="5"/>
    </row>
    <row r="41" spans="1:20" ht="27" customHeight="1">
      <c r="A41" s="106"/>
      <c r="B41" s="107"/>
      <c r="C41" s="47" t="s">
        <v>73</v>
      </c>
      <c r="D41" s="58">
        <f t="shared" si="8"/>
        <v>19</v>
      </c>
      <c r="E41" s="52">
        <f t="shared" si="9"/>
        <v>20913985</v>
      </c>
      <c r="F41" s="52">
        <v>18</v>
      </c>
      <c r="G41" s="52">
        <v>20037985</v>
      </c>
      <c r="H41" s="52">
        <v>1</v>
      </c>
      <c r="I41" s="59">
        <v>876000</v>
      </c>
      <c r="J41" s="64">
        <f t="shared" si="10"/>
        <v>10</v>
      </c>
      <c r="K41" s="14">
        <f t="shared" si="11"/>
        <v>9944400</v>
      </c>
      <c r="L41" s="14">
        <v>8</v>
      </c>
      <c r="M41" s="14">
        <v>8207700</v>
      </c>
      <c r="N41" s="14">
        <v>2</v>
      </c>
      <c r="O41" s="15">
        <v>1736700</v>
      </c>
      <c r="P41" s="5"/>
      <c r="Q41" s="5"/>
      <c r="R41" s="5"/>
      <c r="S41" s="5"/>
      <c r="T41" s="5"/>
    </row>
    <row r="42" spans="1:20" ht="24" customHeight="1">
      <c r="A42" s="101" t="s">
        <v>115</v>
      </c>
      <c r="B42" s="103" t="s">
        <v>74</v>
      </c>
      <c r="C42" s="68" t="s">
        <v>1</v>
      </c>
      <c r="D42" s="56">
        <f t="shared" ref="D42:I42" si="12">SUM(D43:D61)</f>
        <v>601</v>
      </c>
      <c r="E42" s="51">
        <f t="shared" si="12"/>
        <v>576595323</v>
      </c>
      <c r="F42" s="51">
        <f t="shared" si="12"/>
        <v>524</v>
      </c>
      <c r="G42" s="51">
        <f t="shared" si="12"/>
        <v>507030758</v>
      </c>
      <c r="H42" s="51">
        <f t="shared" si="12"/>
        <v>77</v>
      </c>
      <c r="I42" s="57">
        <f t="shared" si="12"/>
        <v>69564565</v>
      </c>
      <c r="J42" s="63">
        <f t="shared" ref="J42:O42" si="13">SUM(J43:J61)</f>
        <v>618</v>
      </c>
      <c r="K42" s="12">
        <f t="shared" si="13"/>
        <v>608098960</v>
      </c>
      <c r="L42" s="12">
        <f t="shared" si="13"/>
        <v>517</v>
      </c>
      <c r="M42" s="12">
        <f t="shared" si="13"/>
        <v>512422040</v>
      </c>
      <c r="N42" s="12">
        <f t="shared" si="13"/>
        <v>101</v>
      </c>
      <c r="O42" s="13">
        <f t="shared" si="13"/>
        <v>95676920</v>
      </c>
    </row>
    <row r="43" spans="1:20" ht="31.5">
      <c r="A43" s="108"/>
      <c r="B43" s="107"/>
      <c r="C43" s="54" t="s">
        <v>75</v>
      </c>
      <c r="D43" s="58">
        <f t="shared" ref="D43:D61" si="14">F43+H43</f>
        <v>27</v>
      </c>
      <c r="E43" s="52">
        <f t="shared" ref="E43:E61" si="15">G43+I43</f>
        <v>35173904</v>
      </c>
      <c r="F43" s="52">
        <v>25</v>
      </c>
      <c r="G43" s="52">
        <f>9281099+24107805</f>
        <v>33388904</v>
      </c>
      <c r="H43" s="52">
        <v>2</v>
      </c>
      <c r="I43" s="59">
        <v>1785000</v>
      </c>
      <c r="J43" s="64">
        <f t="shared" ref="J43:J61" si="16">L43+N43</f>
        <v>55</v>
      </c>
      <c r="K43" s="14">
        <f t="shared" ref="K43:K61" si="17">M43+O43</f>
        <v>61194022</v>
      </c>
      <c r="L43" s="14">
        <v>52</v>
      </c>
      <c r="M43" s="14">
        <v>57486622</v>
      </c>
      <c r="N43" s="14">
        <v>3</v>
      </c>
      <c r="O43" s="15">
        <v>3707400</v>
      </c>
    </row>
    <row r="44" spans="1:20" ht="31.5">
      <c r="A44" s="108"/>
      <c r="B44" s="107"/>
      <c r="C44" s="54" t="s">
        <v>76</v>
      </c>
      <c r="D44" s="58">
        <f t="shared" si="14"/>
        <v>3</v>
      </c>
      <c r="E44" s="52">
        <f t="shared" si="15"/>
        <v>3052115</v>
      </c>
      <c r="F44" s="52">
        <v>3</v>
      </c>
      <c r="G44" s="52">
        <v>3052115</v>
      </c>
      <c r="H44" s="52">
        <v>0</v>
      </c>
      <c r="I44" s="59">
        <v>0</v>
      </c>
      <c r="J44" s="64">
        <f t="shared" si="16"/>
        <v>0</v>
      </c>
      <c r="K44" s="14">
        <f t="shared" si="17"/>
        <v>0</v>
      </c>
      <c r="L44" s="14">
        <v>0</v>
      </c>
      <c r="M44" s="14">
        <v>0</v>
      </c>
      <c r="N44" s="14">
        <v>0</v>
      </c>
      <c r="O44" s="15">
        <v>0</v>
      </c>
    </row>
    <row r="45" spans="1:20" ht="24" customHeight="1">
      <c r="A45" s="108"/>
      <c r="B45" s="107"/>
      <c r="C45" s="54" t="s">
        <v>57</v>
      </c>
      <c r="D45" s="58">
        <f t="shared" si="14"/>
        <v>165</v>
      </c>
      <c r="E45" s="52">
        <f t="shared" si="15"/>
        <v>154474655</v>
      </c>
      <c r="F45" s="52">
        <v>144</v>
      </c>
      <c r="G45" s="52">
        <v>137394170</v>
      </c>
      <c r="H45" s="52">
        <v>21</v>
      </c>
      <c r="I45" s="59">
        <v>17080485</v>
      </c>
      <c r="J45" s="64">
        <f t="shared" si="16"/>
        <v>173</v>
      </c>
      <c r="K45" s="14">
        <f t="shared" si="17"/>
        <v>169736690</v>
      </c>
      <c r="L45" s="14">
        <v>147</v>
      </c>
      <c r="M45" s="14">
        <v>144165570</v>
      </c>
      <c r="N45" s="14">
        <v>26</v>
      </c>
      <c r="O45" s="15">
        <v>25571120</v>
      </c>
    </row>
    <row r="46" spans="1:20" ht="31.5">
      <c r="A46" s="108"/>
      <c r="B46" s="107"/>
      <c r="C46" s="54" t="s">
        <v>77</v>
      </c>
      <c r="D46" s="58">
        <f t="shared" si="14"/>
        <v>3</v>
      </c>
      <c r="E46" s="52">
        <f t="shared" si="15"/>
        <v>1543000</v>
      </c>
      <c r="F46" s="52">
        <v>3</v>
      </c>
      <c r="G46" s="52">
        <v>1543000</v>
      </c>
      <c r="H46" s="52">
        <v>0</v>
      </c>
      <c r="I46" s="59">
        <v>0</v>
      </c>
      <c r="J46" s="64">
        <f t="shared" si="16"/>
        <v>2</v>
      </c>
      <c r="K46" s="14">
        <f t="shared" si="17"/>
        <v>1887515</v>
      </c>
      <c r="L46" s="14">
        <v>2</v>
      </c>
      <c r="M46" s="14">
        <v>1887515</v>
      </c>
      <c r="N46" s="14">
        <v>0</v>
      </c>
      <c r="O46" s="15">
        <v>0</v>
      </c>
    </row>
    <row r="47" spans="1:20" ht="31.5">
      <c r="A47" s="108"/>
      <c r="B47" s="107"/>
      <c r="C47" s="54" t="s">
        <v>78</v>
      </c>
      <c r="D47" s="58">
        <f t="shared" si="14"/>
        <v>5</v>
      </c>
      <c r="E47" s="52">
        <f t="shared" si="15"/>
        <v>4381960</v>
      </c>
      <c r="F47" s="52">
        <v>4</v>
      </c>
      <c r="G47" s="52">
        <v>3612000</v>
      </c>
      <c r="H47" s="52">
        <v>1</v>
      </c>
      <c r="I47" s="59">
        <v>769960</v>
      </c>
      <c r="J47" s="64">
        <f t="shared" si="16"/>
        <v>6</v>
      </c>
      <c r="K47" s="14">
        <f t="shared" si="17"/>
        <v>3073950</v>
      </c>
      <c r="L47" s="14">
        <v>6</v>
      </c>
      <c r="M47" s="14">
        <v>3073950</v>
      </c>
      <c r="N47" s="14">
        <v>0</v>
      </c>
      <c r="O47" s="15">
        <v>0</v>
      </c>
    </row>
    <row r="48" spans="1:20" ht="24" customHeight="1">
      <c r="A48" s="108"/>
      <c r="B48" s="107"/>
      <c r="C48" s="54" t="s">
        <v>58</v>
      </c>
      <c r="D48" s="58">
        <f t="shared" si="14"/>
        <v>121</v>
      </c>
      <c r="E48" s="52">
        <f t="shared" si="15"/>
        <v>120452965</v>
      </c>
      <c r="F48" s="52">
        <v>119</v>
      </c>
      <c r="G48" s="52">
        <v>117857965</v>
      </c>
      <c r="H48" s="52">
        <v>2</v>
      </c>
      <c r="I48" s="59">
        <v>2595000</v>
      </c>
      <c r="J48" s="64">
        <f t="shared" si="16"/>
        <v>112</v>
      </c>
      <c r="K48" s="14">
        <f t="shared" si="17"/>
        <v>110884498</v>
      </c>
      <c r="L48" s="14">
        <v>102</v>
      </c>
      <c r="M48" s="14">
        <v>100824798</v>
      </c>
      <c r="N48" s="14">
        <v>10</v>
      </c>
      <c r="O48" s="15">
        <v>10059700</v>
      </c>
    </row>
    <row r="49" spans="1:68" ht="24" customHeight="1">
      <c r="A49" s="108"/>
      <c r="B49" s="107"/>
      <c r="C49" s="54" t="s">
        <v>117</v>
      </c>
      <c r="D49" s="58">
        <f t="shared" si="14"/>
        <v>72</v>
      </c>
      <c r="E49" s="52">
        <f t="shared" si="15"/>
        <v>58967995</v>
      </c>
      <c r="F49" s="52">
        <v>57</v>
      </c>
      <c r="G49" s="52">
        <v>47076760</v>
      </c>
      <c r="H49" s="52">
        <v>15</v>
      </c>
      <c r="I49" s="59">
        <v>11891235</v>
      </c>
      <c r="J49" s="64">
        <f t="shared" si="16"/>
        <v>70</v>
      </c>
      <c r="K49" s="14">
        <f t="shared" si="17"/>
        <v>63255965</v>
      </c>
      <c r="L49" s="14">
        <v>53</v>
      </c>
      <c r="M49" s="14">
        <v>50370565</v>
      </c>
      <c r="N49" s="14">
        <v>17</v>
      </c>
      <c r="O49" s="15">
        <v>12885400</v>
      </c>
    </row>
    <row r="50" spans="1:68" ht="24" customHeight="1">
      <c r="A50" s="108"/>
      <c r="B50" s="107"/>
      <c r="C50" s="54" t="s">
        <v>118</v>
      </c>
      <c r="D50" s="58">
        <f t="shared" si="14"/>
        <v>71</v>
      </c>
      <c r="E50" s="52">
        <f t="shared" si="15"/>
        <v>76145779</v>
      </c>
      <c r="F50" s="52">
        <v>68</v>
      </c>
      <c r="G50" s="52">
        <f>1202334+70279825</f>
        <v>71482159</v>
      </c>
      <c r="H50" s="52">
        <v>3</v>
      </c>
      <c r="I50" s="59">
        <v>4663620</v>
      </c>
      <c r="J50" s="64">
        <f t="shared" si="16"/>
        <v>56</v>
      </c>
      <c r="K50" s="14">
        <f t="shared" si="17"/>
        <v>58108455</v>
      </c>
      <c r="L50" s="14">
        <v>53</v>
      </c>
      <c r="M50" s="14">
        <v>54894555</v>
      </c>
      <c r="N50" s="14">
        <v>3</v>
      </c>
      <c r="O50" s="15">
        <v>3213900</v>
      </c>
    </row>
    <row r="51" spans="1:68" ht="24" customHeight="1">
      <c r="A51" s="108"/>
      <c r="B51" s="107"/>
      <c r="C51" s="54" t="s">
        <v>119</v>
      </c>
      <c r="D51" s="58">
        <f t="shared" si="14"/>
        <v>27</v>
      </c>
      <c r="E51" s="52">
        <f t="shared" si="15"/>
        <v>20479240</v>
      </c>
      <c r="F51" s="52">
        <v>21</v>
      </c>
      <c r="G51" s="52">
        <v>15479740</v>
      </c>
      <c r="H51" s="52">
        <v>6</v>
      </c>
      <c r="I51" s="59">
        <v>4999500</v>
      </c>
      <c r="J51" s="64">
        <f t="shared" si="16"/>
        <v>19</v>
      </c>
      <c r="K51" s="14">
        <f t="shared" si="17"/>
        <v>13938215</v>
      </c>
      <c r="L51" s="14">
        <v>9</v>
      </c>
      <c r="M51" s="14">
        <v>4089165</v>
      </c>
      <c r="N51" s="14">
        <v>10</v>
      </c>
      <c r="O51" s="15">
        <v>9849050</v>
      </c>
    </row>
    <row r="52" spans="1:68" ht="31.5">
      <c r="A52" s="108"/>
      <c r="B52" s="107"/>
      <c r="C52" s="54" t="s">
        <v>79</v>
      </c>
      <c r="D52" s="58">
        <f t="shared" si="14"/>
        <v>3</v>
      </c>
      <c r="E52" s="52">
        <f t="shared" si="15"/>
        <v>5094000</v>
      </c>
      <c r="F52" s="52">
        <v>3</v>
      </c>
      <c r="G52" s="52">
        <v>5094000</v>
      </c>
      <c r="H52" s="52">
        <v>0</v>
      </c>
      <c r="I52" s="59">
        <v>0</v>
      </c>
      <c r="J52" s="64">
        <f t="shared" si="16"/>
        <v>8</v>
      </c>
      <c r="K52" s="14">
        <f t="shared" si="17"/>
        <v>6575485</v>
      </c>
      <c r="L52" s="14">
        <v>6</v>
      </c>
      <c r="M52" s="14">
        <v>4462685</v>
      </c>
      <c r="N52" s="14">
        <v>2</v>
      </c>
      <c r="O52" s="15">
        <v>2112800</v>
      </c>
    </row>
    <row r="53" spans="1:68" ht="24" customHeight="1">
      <c r="A53" s="108"/>
      <c r="B53" s="107"/>
      <c r="C53" s="54" t="s">
        <v>120</v>
      </c>
      <c r="D53" s="58">
        <f t="shared" si="14"/>
        <v>5</v>
      </c>
      <c r="E53" s="52">
        <f t="shared" si="15"/>
        <v>3642525</v>
      </c>
      <c r="F53" s="52">
        <v>4</v>
      </c>
      <c r="G53" s="52">
        <v>3203525</v>
      </c>
      <c r="H53" s="52">
        <v>1</v>
      </c>
      <c r="I53" s="59">
        <v>439000</v>
      </c>
      <c r="J53" s="64">
        <f t="shared" si="16"/>
        <v>8</v>
      </c>
      <c r="K53" s="14">
        <f t="shared" si="17"/>
        <v>10281765</v>
      </c>
      <c r="L53" s="14">
        <v>4</v>
      </c>
      <c r="M53" s="14">
        <v>3423765</v>
      </c>
      <c r="N53" s="14">
        <v>4</v>
      </c>
      <c r="O53" s="15">
        <v>6858000</v>
      </c>
    </row>
    <row r="54" spans="1:68" ht="24" customHeight="1">
      <c r="A54" s="108"/>
      <c r="B54" s="107"/>
      <c r="C54" s="54" t="s">
        <v>59</v>
      </c>
      <c r="D54" s="58">
        <f t="shared" si="14"/>
        <v>5</v>
      </c>
      <c r="E54" s="52">
        <f t="shared" si="15"/>
        <v>6072615</v>
      </c>
      <c r="F54" s="52">
        <v>5</v>
      </c>
      <c r="G54" s="52">
        <v>6072615</v>
      </c>
      <c r="H54" s="52">
        <v>0</v>
      </c>
      <c r="I54" s="59">
        <v>0</v>
      </c>
      <c r="J54" s="64">
        <f t="shared" si="16"/>
        <v>6</v>
      </c>
      <c r="K54" s="14">
        <f t="shared" si="17"/>
        <v>5745075</v>
      </c>
      <c r="L54" s="14">
        <v>6</v>
      </c>
      <c r="M54" s="14">
        <v>5745075</v>
      </c>
      <c r="N54" s="14">
        <v>0</v>
      </c>
      <c r="O54" s="15">
        <v>0</v>
      </c>
    </row>
    <row r="55" spans="1:68" ht="31.5">
      <c r="A55" s="108"/>
      <c r="B55" s="107"/>
      <c r="C55" s="54" t="s">
        <v>80</v>
      </c>
      <c r="D55" s="58">
        <f t="shared" si="14"/>
        <v>10</v>
      </c>
      <c r="E55" s="52">
        <f t="shared" si="15"/>
        <v>9461970</v>
      </c>
      <c r="F55" s="52">
        <v>7</v>
      </c>
      <c r="G55" s="52">
        <v>5693205</v>
      </c>
      <c r="H55" s="52">
        <v>3</v>
      </c>
      <c r="I55" s="59">
        <v>3768765</v>
      </c>
      <c r="J55" s="64">
        <f t="shared" si="16"/>
        <v>12</v>
      </c>
      <c r="K55" s="14">
        <f t="shared" si="17"/>
        <v>12166250</v>
      </c>
      <c r="L55" s="14">
        <v>8</v>
      </c>
      <c r="M55" s="14">
        <v>8075000</v>
      </c>
      <c r="N55" s="14">
        <v>4</v>
      </c>
      <c r="O55" s="15">
        <v>4091250</v>
      </c>
    </row>
    <row r="56" spans="1:68" ht="24" customHeight="1">
      <c r="A56" s="108"/>
      <c r="B56" s="107"/>
      <c r="C56" s="54" t="s">
        <v>60</v>
      </c>
      <c r="D56" s="58">
        <f t="shared" si="14"/>
        <v>35</v>
      </c>
      <c r="E56" s="52">
        <f t="shared" si="15"/>
        <v>29169620</v>
      </c>
      <c r="F56" s="52">
        <v>35</v>
      </c>
      <c r="G56" s="52">
        <v>29169620</v>
      </c>
      <c r="H56" s="52">
        <v>0</v>
      </c>
      <c r="I56" s="59">
        <v>0</v>
      </c>
      <c r="J56" s="64">
        <f t="shared" si="16"/>
        <v>47</v>
      </c>
      <c r="K56" s="14">
        <f t="shared" si="17"/>
        <v>42627390</v>
      </c>
      <c r="L56" s="14">
        <v>38</v>
      </c>
      <c r="M56" s="14">
        <v>35171940</v>
      </c>
      <c r="N56" s="14">
        <v>9</v>
      </c>
      <c r="O56" s="15">
        <v>7455450</v>
      </c>
    </row>
    <row r="57" spans="1:68" ht="47.25">
      <c r="A57" s="108"/>
      <c r="B57" s="107"/>
      <c r="C57" s="54" t="s">
        <v>81</v>
      </c>
      <c r="D57" s="58">
        <f t="shared" si="14"/>
        <v>8</v>
      </c>
      <c r="E57" s="52">
        <f t="shared" si="15"/>
        <v>12340635</v>
      </c>
      <c r="F57" s="52">
        <v>7</v>
      </c>
      <c r="G57" s="52">
        <v>10507650</v>
      </c>
      <c r="H57" s="52">
        <v>1</v>
      </c>
      <c r="I57" s="59">
        <v>1832985</v>
      </c>
      <c r="J57" s="64">
        <f t="shared" si="16"/>
        <v>5</v>
      </c>
      <c r="K57" s="14">
        <f t="shared" si="17"/>
        <v>8383985</v>
      </c>
      <c r="L57" s="14">
        <v>5</v>
      </c>
      <c r="M57" s="14">
        <v>8164485</v>
      </c>
      <c r="N57" s="14">
        <v>0</v>
      </c>
      <c r="O57" s="15">
        <v>219500</v>
      </c>
    </row>
    <row r="58" spans="1:68" ht="24" customHeight="1">
      <c r="A58" s="108"/>
      <c r="B58" s="107"/>
      <c r="C58" s="54" t="s">
        <v>61</v>
      </c>
      <c r="D58" s="58">
        <f t="shared" si="14"/>
        <v>4</v>
      </c>
      <c r="E58" s="52">
        <f t="shared" si="15"/>
        <v>2446500</v>
      </c>
      <c r="F58" s="52">
        <v>2</v>
      </c>
      <c r="G58" s="52">
        <v>1104000</v>
      </c>
      <c r="H58" s="52">
        <v>2</v>
      </c>
      <c r="I58" s="59">
        <v>1342500</v>
      </c>
      <c r="J58" s="64">
        <f t="shared" si="16"/>
        <v>11</v>
      </c>
      <c r="K58" s="14">
        <f t="shared" si="17"/>
        <v>9875850</v>
      </c>
      <c r="L58" s="14">
        <v>6</v>
      </c>
      <c r="M58" s="14">
        <v>6625350</v>
      </c>
      <c r="N58" s="14">
        <v>5</v>
      </c>
      <c r="O58" s="15">
        <v>3250500</v>
      </c>
    </row>
    <row r="59" spans="1:68" ht="47.25">
      <c r="A59" s="108"/>
      <c r="B59" s="107"/>
      <c r="C59" s="54" t="s">
        <v>82</v>
      </c>
      <c r="D59" s="58">
        <f t="shared" si="14"/>
        <v>10</v>
      </c>
      <c r="E59" s="52">
        <f t="shared" si="15"/>
        <v>8042360</v>
      </c>
      <c r="F59" s="52">
        <v>2</v>
      </c>
      <c r="G59" s="52">
        <v>2749500</v>
      </c>
      <c r="H59" s="52">
        <v>8</v>
      </c>
      <c r="I59" s="59">
        <v>5292860</v>
      </c>
      <c r="J59" s="64">
        <f t="shared" si="16"/>
        <v>7</v>
      </c>
      <c r="K59" s="14">
        <f t="shared" si="17"/>
        <v>4770900</v>
      </c>
      <c r="L59" s="14">
        <v>3</v>
      </c>
      <c r="M59" s="14">
        <v>2133200</v>
      </c>
      <c r="N59" s="14">
        <v>4</v>
      </c>
      <c r="O59" s="15">
        <v>2637700</v>
      </c>
    </row>
    <row r="60" spans="1:68" ht="31.5">
      <c r="A60" s="108"/>
      <c r="B60" s="107"/>
      <c r="C60" s="54" t="s">
        <v>83</v>
      </c>
      <c r="D60" s="58">
        <f t="shared" si="14"/>
        <v>3</v>
      </c>
      <c r="E60" s="52">
        <f t="shared" si="15"/>
        <v>2760000</v>
      </c>
      <c r="F60" s="52">
        <v>1</v>
      </c>
      <c r="G60" s="52">
        <v>96000</v>
      </c>
      <c r="H60" s="52">
        <v>2</v>
      </c>
      <c r="I60" s="59">
        <v>2664000</v>
      </c>
      <c r="J60" s="64">
        <f t="shared" si="16"/>
        <v>2</v>
      </c>
      <c r="K60" s="14">
        <f t="shared" si="17"/>
        <v>2123550</v>
      </c>
      <c r="L60" s="14">
        <v>1</v>
      </c>
      <c r="M60" s="14">
        <v>1363500</v>
      </c>
      <c r="N60" s="14">
        <v>1</v>
      </c>
      <c r="O60" s="15">
        <v>760050</v>
      </c>
    </row>
    <row r="61" spans="1:68" ht="24" customHeight="1" thickBot="1">
      <c r="A61" s="109"/>
      <c r="B61" s="110"/>
      <c r="C61" s="55" t="s">
        <v>62</v>
      </c>
      <c r="D61" s="61">
        <f t="shared" si="14"/>
        <v>24</v>
      </c>
      <c r="E61" s="53">
        <f t="shared" si="15"/>
        <v>22893485</v>
      </c>
      <c r="F61" s="53">
        <v>14</v>
      </c>
      <c r="G61" s="53">
        <v>12453830</v>
      </c>
      <c r="H61" s="53">
        <v>10</v>
      </c>
      <c r="I61" s="62">
        <v>10439655</v>
      </c>
      <c r="J61" s="65">
        <f t="shared" si="16"/>
        <v>19</v>
      </c>
      <c r="K61" s="16">
        <f t="shared" si="17"/>
        <v>23469400</v>
      </c>
      <c r="L61" s="16">
        <v>16</v>
      </c>
      <c r="M61" s="16">
        <v>20464300</v>
      </c>
      <c r="N61" s="16">
        <v>3</v>
      </c>
      <c r="O61" s="17">
        <v>3005100</v>
      </c>
    </row>
    <row r="62" spans="1:68" s="11" customFormat="1" ht="22.9" customHeight="1">
      <c r="A62" s="6"/>
      <c r="B62" s="6"/>
      <c r="C62" s="6"/>
      <c r="D62" s="136" t="s">
        <v>133</v>
      </c>
      <c r="E62" s="136"/>
      <c r="F62" s="136"/>
      <c r="G62" s="136"/>
      <c r="H62" s="136"/>
      <c r="I62" s="136"/>
      <c r="J62" s="136" t="s">
        <v>133</v>
      </c>
      <c r="K62" s="136"/>
      <c r="L62" s="136"/>
      <c r="M62" s="136"/>
      <c r="N62" s="136"/>
      <c r="O62" s="136"/>
      <c r="U62" s="6"/>
      <c r="AB62" s="6"/>
      <c r="AI62" s="6"/>
      <c r="AQ62" s="6"/>
      <c r="BP62" s="6"/>
    </row>
  </sheetData>
  <mergeCells count="20">
    <mergeCell ref="A3:A5"/>
    <mergeCell ref="B6:B28"/>
    <mergeCell ref="B3:C5"/>
    <mergeCell ref="A42:A61"/>
    <mergeCell ref="B42:B61"/>
    <mergeCell ref="A6:A28"/>
    <mergeCell ref="B29:B41"/>
    <mergeCell ref="A29:A41"/>
    <mergeCell ref="J1:O1"/>
    <mergeCell ref="D1:I1"/>
    <mergeCell ref="D62:I62"/>
    <mergeCell ref="J62:O62"/>
    <mergeCell ref="J3:O3"/>
    <mergeCell ref="J4:K4"/>
    <mergeCell ref="L4:M4"/>
    <mergeCell ref="N4:O4"/>
    <mergeCell ref="D3:I3"/>
    <mergeCell ref="D4:E4"/>
    <mergeCell ref="F4:G4"/>
    <mergeCell ref="H4:I4"/>
  </mergeCells>
  <phoneticPr fontId="2" type="noConversion"/>
  <printOptions horizontalCentered="1"/>
  <pageMargins left="0.39370078740157483" right="0.39370078740157483" top="0.59055118110236227" bottom="0.39370078740157483" header="0.51181102362204722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P6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375" style="4" customWidth="1"/>
    <col min="2" max="2" width="4.75" style="4" customWidth="1"/>
    <col min="3" max="3" width="11.125" style="3" customWidth="1"/>
    <col min="4" max="4" width="7.75" style="2" customWidth="1"/>
    <col min="5" max="5" width="12.75" style="2" customWidth="1"/>
    <col min="6" max="6" width="7.75" style="2" customWidth="1"/>
    <col min="7" max="7" width="12.75" style="2" customWidth="1"/>
    <col min="8" max="8" width="7.75" style="2" customWidth="1"/>
    <col min="9" max="9" width="12.75" style="2" customWidth="1"/>
    <col min="10" max="10" width="7.75" style="2" customWidth="1"/>
    <col min="11" max="11" width="12.75" style="2" customWidth="1"/>
    <col min="12" max="12" width="7.75" style="2" customWidth="1"/>
    <col min="13" max="13" width="12.75" style="2" customWidth="1"/>
    <col min="14" max="14" width="7.75" style="2" customWidth="1"/>
    <col min="15" max="15" width="12.75" style="2" customWidth="1"/>
    <col min="16" max="16" width="14.625" style="2" customWidth="1"/>
    <col min="17" max="17" width="9.625" style="2" customWidth="1"/>
    <col min="18" max="18" width="14.625" style="2" customWidth="1"/>
    <col min="19" max="19" width="9.625" style="2" customWidth="1"/>
    <col min="20" max="20" width="14.625" style="2" customWidth="1"/>
    <col min="21" max="16384" width="9" style="2"/>
  </cols>
  <sheetData>
    <row r="1" spans="1:26" s="73" customFormat="1" ht="41.45" customHeight="1">
      <c r="A1" s="28"/>
      <c r="B1" s="72"/>
      <c r="C1" s="72"/>
      <c r="D1" s="140" t="s">
        <v>128</v>
      </c>
      <c r="E1" s="141"/>
      <c r="F1" s="141"/>
      <c r="G1" s="141"/>
      <c r="H1" s="141"/>
      <c r="I1" s="141"/>
      <c r="J1" s="140" t="s">
        <v>128</v>
      </c>
      <c r="K1" s="141"/>
      <c r="L1" s="141"/>
      <c r="M1" s="141"/>
      <c r="N1" s="141"/>
      <c r="O1" s="141"/>
    </row>
    <row r="2" spans="1:26" ht="17.25" customHeight="1" thickBot="1">
      <c r="A2" s="1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26" s="6" customFormat="1" ht="23.45" customHeight="1">
      <c r="A3" s="157" t="s">
        <v>0</v>
      </c>
      <c r="B3" s="113" t="s">
        <v>56</v>
      </c>
      <c r="C3" s="158"/>
      <c r="D3" s="119" t="s">
        <v>89</v>
      </c>
      <c r="E3" s="120"/>
      <c r="F3" s="120"/>
      <c r="G3" s="120"/>
      <c r="H3" s="120"/>
      <c r="I3" s="121"/>
      <c r="J3" s="142" t="s">
        <v>90</v>
      </c>
      <c r="K3" s="143"/>
      <c r="L3" s="143"/>
      <c r="M3" s="143"/>
      <c r="N3" s="143"/>
      <c r="O3" s="144"/>
    </row>
    <row r="4" spans="1:26" s="3" customFormat="1" ht="23.45" customHeight="1">
      <c r="A4" s="112"/>
      <c r="B4" s="115"/>
      <c r="C4" s="159"/>
      <c r="D4" s="152" t="s">
        <v>92</v>
      </c>
      <c r="E4" s="153"/>
      <c r="F4" s="153" t="s">
        <v>93</v>
      </c>
      <c r="G4" s="153"/>
      <c r="H4" s="153" t="s">
        <v>94</v>
      </c>
      <c r="I4" s="154"/>
      <c r="J4" s="149" t="s">
        <v>92</v>
      </c>
      <c r="K4" s="150"/>
      <c r="L4" s="150" t="s">
        <v>93</v>
      </c>
      <c r="M4" s="150"/>
      <c r="N4" s="150" t="s">
        <v>94</v>
      </c>
      <c r="O4" s="151"/>
    </row>
    <row r="5" spans="1:26" ht="23.45" customHeight="1">
      <c r="A5" s="112"/>
      <c r="B5" s="117"/>
      <c r="C5" s="160"/>
      <c r="D5" s="33" t="s">
        <v>46</v>
      </c>
      <c r="E5" s="29" t="s">
        <v>47</v>
      </c>
      <c r="F5" s="29" t="s">
        <v>46</v>
      </c>
      <c r="G5" s="29" t="s">
        <v>47</v>
      </c>
      <c r="H5" s="29" t="s">
        <v>46</v>
      </c>
      <c r="I5" s="34" t="s">
        <v>47</v>
      </c>
      <c r="J5" s="41" t="s">
        <v>46</v>
      </c>
      <c r="K5" s="26" t="s">
        <v>47</v>
      </c>
      <c r="L5" s="26" t="s">
        <v>46</v>
      </c>
      <c r="M5" s="26" t="s">
        <v>47</v>
      </c>
      <c r="N5" s="26" t="s">
        <v>46</v>
      </c>
      <c r="O5" s="27" t="s">
        <v>47</v>
      </c>
    </row>
    <row r="6" spans="1:26" ht="24.6" customHeight="1">
      <c r="A6" s="101" t="s">
        <v>48</v>
      </c>
      <c r="B6" s="103" t="s">
        <v>45</v>
      </c>
      <c r="C6" s="45" t="s">
        <v>1</v>
      </c>
      <c r="D6" s="56">
        <f t="shared" ref="D6:I6" si="0">SUM(D7:D28)</f>
        <v>657</v>
      </c>
      <c r="E6" s="51">
        <f t="shared" si="0"/>
        <v>645433827</v>
      </c>
      <c r="F6" s="51">
        <f t="shared" si="0"/>
        <v>551</v>
      </c>
      <c r="G6" s="51">
        <f t="shared" si="0"/>
        <v>540925272</v>
      </c>
      <c r="H6" s="51">
        <f t="shared" si="0"/>
        <v>106</v>
      </c>
      <c r="I6" s="57">
        <f t="shared" si="0"/>
        <v>104508555</v>
      </c>
      <c r="J6" s="63">
        <f t="shared" ref="J6:O6" si="1">SUM(J7:J28)</f>
        <v>696</v>
      </c>
      <c r="K6" s="12">
        <f t="shared" si="1"/>
        <v>709260722</v>
      </c>
      <c r="L6" s="12">
        <f t="shared" si="1"/>
        <v>600</v>
      </c>
      <c r="M6" s="12">
        <f t="shared" si="1"/>
        <v>611556037</v>
      </c>
      <c r="N6" s="12">
        <f t="shared" si="1"/>
        <v>96</v>
      </c>
      <c r="O6" s="13">
        <f t="shared" si="1"/>
        <v>97704685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4.6" customHeight="1">
      <c r="A7" s="101"/>
      <c r="B7" s="104"/>
      <c r="C7" s="45" t="s">
        <v>49</v>
      </c>
      <c r="D7" s="56">
        <f t="shared" ref="D7:D26" si="2">F7+H7</f>
        <v>75</v>
      </c>
      <c r="E7" s="51">
        <f t="shared" ref="E7:E26" si="3">G7+I7</f>
        <v>79403475</v>
      </c>
      <c r="F7" s="51">
        <v>64</v>
      </c>
      <c r="G7" s="51">
        <v>68688140</v>
      </c>
      <c r="H7" s="51">
        <v>11</v>
      </c>
      <c r="I7" s="57">
        <v>10715335</v>
      </c>
      <c r="J7" s="63">
        <f t="shared" ref="J7:K11" si="4">L7+N7</f>
        <v>105</v>
      </c>
      <c r="K7" s="12">
        <f t="shared" si="4"/>
        <v>111109107</v>
      </c>
      <c r="L7" s="12">
        <v>93</v>
      </c>
      <c r="M7" s="12">
        <v>98091972</v>
      </c>
      <c r="N7" s="12">
        <v>12</v>
      </c>
      <c r="O7" s="13">
        <v>13017135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.6" customHeight="1">
      <c r="A8" s="101"/>
      <c r="B8" s="104"/>
      <c r="C8" s="45" t="s">
        <v>50</v>
      </c>
      <c r="D8" s="56">
        <f t="shared" si="2"/>
        <v>108</v>
      </c>
      <c r="E8" s="51">
        <f t="shared" si="3"/>
        <v>107397872</v>
      </c>
      <c r="F8" s="51">
        <v>93</v>
      </c>
      <c r="G8" s="51">
        <v>93317837</v>
      </c>
      <c r="H8" s="51">
        <v>15</v>
      </c>
      <c r="I8" s="57">
        <v>14080035</v>
      </c>
      <c r="J8" s="63">
        <f t="shared" si="4"/>
        <v>84</v>
      </c>
      <c r="K8" s="12">
        <f t="shared" si="4"/>
        <v>100477910</v>
      </c>
      <c r="L8" s="12">
        <v>70</v>
      </c>
      <c r="M8" s="12">
        <v>83798560</v>
      </c>
      <c r="N8" s="12">
        <v>14</v>
      </c>
      <c r="O8" s="13">
        <v>16679350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4.6" customHeight="1">
      <c r="A9" s="101"/>
      <c r="B9" s="104"/>
      <c r="C9" s="45" t="s">
        <v>51</v>
      </c>
      <c r="D9" s="56">
        <f t="shared" si="2"/>
        <v>76</v>
      </c>
      <c r="E9" s="51">
        <f t="shared" si="3"/>
        <v>69721870</v>
      </c>
      <c r="F9" s="51">
        <v>58</v>
      </c>
      <c r="G9" s="51">
        <v>53744185</v>
      </c>
      <c r="H9" s="51">
        <v>18</v>
      </c>
      <c r="I9" s="57">
        <v>15977685</v>
      </c>
      <c r="J9" s="63">
        <f t="shared" si="4"/>
        <v>77</v>
      </c>
      <c r="K9" s="12">
        <f t="shared" si="4"/>
        <v>70900785</v>
      </c>
      <c r="L9" s="12">
        <v>63</v>
      </c>
      <c r="M9" s="12">
        <v>58109285</v>
      </c>
      <c r="N9" s="12">
        <v>14</v>
      </c>
      <c r="O9" s="13">
        <v>12791500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4.6" customHeight="1">
      <c r="A10" s="101"/>
      <c r="B10" s="104"/>
      <c r="C10" s="45" t="s">
        <v>52</v>
      </c>
      <c r="D10" s="56">
        <f t="shared" si="2"/>
        <v>54</v>
      </c>
      <c r="E10" s="51">
        <f t="shared" si="3"/>
        <v>59008010</v>
      </c>
      <c r="F10" s="51">
        <v>45</v>
      </c>
      <c r="G10" s="51">
        <v>49485495</v>
      </c>
      <c r="H10" s="51">
        <v>9</v>
      </c>
      <c r="I10" s="57">
        <v>9522515</v>
      </c>
      <c r="J10" s="63">
        <f t="shared" si="4"/>
        <v>50</v>
      </c>
      <c r="K10" s="12">
        <f t="shared" si="4"/>
        <v>50842200</v>
      </c>
      <c r="L10" s="12">
        <v>45</v>
      </c>
      <c r="M10" s="12">
        <v>46627850</v>
      </c>
      <c r="N10" s="12">
        <v>5</v>
      </c>
      <c r="O10" s="13">
        <v>4214350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4.6" customHeight="1">
      <c r="A11" s="101"/>
      <c r="B11" s="104"/>
      <c r="C11" s="45" t="s">
        <v>53</v>
      </c>
      <c r="D11" s="56">
        <f t="shared" si="2"/>
        <v>97</v>
      </c>
      <c r="E11" s="51">
        <f t="shared" si="3"/>
        <v>93607076</v>
      </c>
      <c r="F11" s="51">
        <v>84</v>
      </c>
      <c r="G11" s="51">
        <v>79933376</v>
      </c>
      <c r="H11" s="51">
        <v>13</v>
      </c>
      <c r="I11" s="57">
        <v>13673700</v>
      </c>
      <c r="J11" s="63">
        <f t="shared" si="4"/>
        <v>123</v>
      </c>
      <c r="K11" s="12">
        <f t="shared" si="4"/>
        <v>123855894</v>
      </c>
      <c r="L11" s="12">
        <v>113</v>
      </c>
      <c r="M11" s="12">
        <v>114594094</v>
      </c>
      <c r="N11" s="12">
        <v>10</v>
      </c>
      <c r="O11" s="13">
        <v>9261800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" customHeight="1">
      <c r="A12" s="102"/>
      <c r="B12" s="105"/>
      <c r="C12" s="46" t="s">
        <v>3</v>
      </c>
      <c r="D12" s="58">
        <f t="shared" si="2"/>
        <v>25</v>
      </c>
      <c r="E12" s="52">
        <f t="shared" si="3"/>
        <v>27078707</v>
      </c>
      <c r="F12" s="52">
        <v>18</v>
      </c>
      <c r="G12" s="52">
        <v>18390907</v>
      </c>
      <c r="H12" s="52">
        <v>7</v>
      </c>
      <c r="I12" s="59">
        <v>8687800</v>
      </c>
      <c r="J12" s="64">
        <f t="shared" ref="J12:J26" si="5">L12+N12</f>
        <v>18</v>
      </c>
      <c r="K12" s="14">
        <f t="shared" ref="K12:K26" si="6">M12+O12</f>
        <v>14847440</v>
      </c>
      <c r="L12" s="14">
        <v>18</v>
      </c>
      <c r="M12" s="14">
        <v>14847440</v>
      </c>
      <c r="N12" s="14">
        <v>0</v>
      </c>
      <c r="O12" s="15">
        <v>0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" customHeight="1">
      <c r="A13" s="102"/>
      <c r="B13" s="105"/>
      <c r="C13" s="46" t="s">
        <v>4</v>
      </c>
      <c r="D13" s="58">
        <f t="shared" si="2"/>
        <v>46</v>
      </c>
      <c r="E13" s="52">
        <f t="shared" si="3"/>
        <v>48542385</v>
      </c>
      <c r="F13" s="52">
        <v>42</v>
      </c>
      <c r="G13" s="52">
        <v>43640400</v>
      </c>
      <c r="H13" s="52">
        <v>4</v>
      </c>
      <c r="I13" s="59">
        <v>4901985</v>
      </c>
      <c r="J13" s="64">
        <f t="shared" si="5"/>
        <v>72</v>
      </c>
      <c r="K13" s="14">
        <f t="shared" si="6"/>
        <v>81812635</v>
      </c>
      <c r="L13" s="14">
        <v>54</v>
      </c>
      <c r="M13" s="14">
        <v>62161970</v>
      </c>
      <c r="N13" s="14">
        <v>18</v>
      </c>
      <c r="O13" s="15">
        <v>19650665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" customHeight="1">
      <c r="A14" s="102"/>
      <c r="B14" s="105"/>
      <c r="C14" s="46" t="s">
        <v>5</v>
      </c>
      <c r="D14" s="58">
        <f t="shared" si="2"/>
        <v>11</v>
      </c>
      <c r="E14" s="52">
        <f t="shared" si="3"/>
        <v>11000345</v>
      </c>
      <c r="F14" s="52">
        <v>10</v>
      </c>
      <c r="G14" s="52">
        <v>10226345</v>
      </c>
      <c r="H14" s="52">
        <v>1</v>
      </c>
      <c r="I14" s="59">
        <v>774000</v>
      </c>
      <c r="J14" s="64">
        <f t="shared" si="5"/>
        <v>15</v>
      </c>
      <c r="K14" s="14">
        <f t="shared" si="6"/>
        <v>15558300</v>
      </c>
      <c r="L14" s="14">
        <v>13</v>
      </c>
      <c r="M14" s="14">
        <v>13734300</v>
      </c>
      <c r="N14" s="14">
        <v>2</v>
      </c>
      <c r="O14" s="15">
        <v>1824000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" customHeight="1">
      <c r="A15" s="102"/>
      <c r="B15" s="105"/>
      <c r="C15" s="46" t="s">
        <v>6</v>
      </c>
      <c r="D15" s="58">
        <f t="shared" si="2"/>
        <v>16</v>
      </c>
      <c r="E15" s="52">
        <f t="shared" si="3"/>
        <v>11664050</v>
      </c>
      <c r="F15" s="52">
        <v>15</v>
      </c>
      <c r="G15" s="52">
        <v>10704050</v>
      </c>
      <c r="H15" s="52">
        <v>1</v>
      </c>
      <c r="I15" s="59">
        <v>960000</v>
      </c>
      <c r="J15" s="64">
        <f t="shared" si="5"/>
        <v>16</v>
      </c>
      <c r="K15" s="14">
        <f t="shared" si="6"/>
        <v>16396250</v>
      </c>
      <c r="L15" s="14">
        <v>13</v>
      </c>
      <c r="M15" s="14">
        <v>12889265</v>
      </c>
      <c r="N15" s="14">
        <v>3</v>
      </c>
      <c r="O15" s="15">
        <v>3506985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" customHeight="1">
      <c r="A16" s="102"/>
      <c r="B16" s="105"/>
      <c r="C16" s="46" t="s">
        <v>8</v>
      </c>
      <c r="D16" s="58">
        <f t="shared" si="2"/>
        <v>39</v>
      </c>
      <c r="E16" s="52">
        <f t="shared" si="3"/>
        <v>32653750</v>
      </c>
      <c r="F16" s="52">
        <v>34</v>
      </c>
      <c r="G16" s="52">
        <v>27928750</v>
      </c>
      <c r="H16" s="52">
        <v>5</v>
      </c>
      <c r="I16" s="59">
        <v>4725000</v>
      </c>
      <c r="J16" s="64">
        <f t="shared" si="5"/>
        <v>36</v>
      </c>
      <c r="K16" s="14">
        <f t="shared" si="6"/>
        <v>28412535</v>
      </c>
      <c r="L16" s="14">
        <v>30</v>
      </c>
      <c r="M16" s="14">
        <v>24538035</v>
      </c>
      <c r="N16" s="14">
        <v>6</v>
      </c>
      <c r="O16" s="15">
        <v>3874500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" customHeight="1">
      <c r="A17" s="102"/>
      <c r="B17" s="105"/>
      <c r="C17" s="46" t="s">
        <v>9</v>
      </c>
      <c r="D17" s="58">
        <f t="shared" si="2"/>
        <v>8</v>
      </c>
      <c r="E17" s="52">
        <f t="shared" si="3"/>
        <v>8146735</v>
      </c>
      <c r="F17" s="52">
        <v>6</v>
      </c>
      <c r="G17" s="52">
        <v>6459235</v>
      </c>
      <c r="H17" s="52">
        <v>2</v>
      </c>
      <c r="I17" s="59">
        <v>1687500</v>
      </c>
      <c r="J17" s="64">
        <f t="shared" si="5"/>
        <v>2</v>
      </c>
      <c r="K17" s="14">
        <f t="shared" si="6"/>
        <v>2127000</v>
      </c>
      <c r="L17" s="14">
        <v>2</v>
      </c>
      <c r="M17" s="14">
        <v>2127000</v>
      </c>
      <c r="N17" s="14">
        <v>0</v>
      </c>
      <c r="O17" s="15">
        <v>0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" customHeight="1">
      <c r="A18" s="102"/>
      <c r="B18" s="105"/>
      <c r="C18" s="46" t="s">
        <v>10</v>
      </c>
      <c r="D18" s="58">
        <f t="shared" si="2"/>
        <v>24</v>
      </c>
      <c r="E18" s="52">
        <f t="shared" si="3"/>
        <v>20151250</v>
      </c>
      <c r="F18" s="52">
        <v>18</v>
      </c>
      <c r="G18" s="52">
        <v>14915950</v>
      </c>
      <c r="H18" s="52">
        <v>6</v>
      </c>
      <c r="I18" s="59">
        <v>5235300</v>
      </c>
      <c r="J18" s="64">
        <f t="shared" si="5"/>
        <v>20</v>
      </c>
      <c r="K18" s="14">
        <f t="shared" si="6"/>
        <v>19231679</v>
      </c>
      <c r="L18" s="14">
        <v>19</v>
      </c>
      <c r="M18" s="14">
        <v>18367679</v>
      </c>
      <c r="N18" s="14">
        <v>1</v>
      </c>
      <c r="O18" s="15">
        <v>864000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" customHeight="1">
      <c r="A19" s="102"/>
      <c r="B19" s="105"/>
      <c r="C19" s="46" t="s">
        <v>11</v>
      </c>
      <c r="D19" s="58">
        <f t="shared" si="2"/>
        <v>11</v>
      </c>
      <c r="E19" s="52">
        <f t="shared" si="3"/>
        <v>10305800</v>
      </c>
      <c r="F19" s="52">
        <v>8</v>
      </c>
      <c r="G19" s="52">
        <v>5766200</v>
      </c>
      <c r="H19" s="52">
        <v>3</v>
      </c>
      <c r="I19" s="59">
        <v>4539600</v>
      </c>
      <c r="J19" s="64">
        <f t="shared" si="5"/>
        <v>5</v>
      </c>
      <c r="K19" s="14">
        <f t="shared" si="6"/>
        <v>6618600</v>
      </c>
      <c r="L19" s="14">
        <v>5</v>
      </c>
      <c r="M19" s="14">
        <v>6618600</v>
      </c>
      <c r="N19" s="14">
        <v>0</v>
      </c>
      <c r="O19" s="15">
        <v>0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4.6" customHeight="1">
      <c r="A20" s="102"/>
      <c r="B20" s="105"/>
      <c r="C20" s="46" t="s">
        <v>14</v>
      </c>
      <c r="D20" s="58">
        <f t="shared" si="2"/>
        <v>30</v>
      </c>
      <c r="E20" s="52">
        <f t="shared" si="3"/>
        <v>24831810</v>
      </c>
      <c r="F20" s="52">
        <v>23</v>
      </c>
      <c r="G20" s="52">
        <v>19050510</v>
      </c>
      <c r="H20" s="52">
        <v>7</v>
      </c>
      <c r="I20" s="59">
        <v>5781300</v>
      </c>
      <c r="J20" s="64">
        <f t="shared" si="5"/>
        <v>25</v>
      </c>
      <c r="K20" s="14">
        <f t="shared" si="6"/>
        <v>22768330</v>
      </c>
      <c r="L20" s="14">
        <v>22</v>
      </c>
      <c r="M20" s="14">
        <v>18370030</v>
      </c>
      <c r="N20" s="14">
        <v>3</v>
      </c>
      <c r="O20" s="15">
        <v>4398300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4.6" customHeight="1">
      <c r="A21" s="102"/>
      <c r="B21" s="105"/>
      <c r="C21" s="46" t="s">
        <v>15</v>
      </c>
      <c r="D21" s="58">
        <f t="shared" si="2"/>
        <v>3</v>
      </c>
      <c r="E21" s="52">
        <f t="shared" si="3"/>
        <v>3104820</v>
      </c>
      <c r="F21" s="52">
        <v>3</v>
      </c>
      <c r="G21" s="52">
        <v>3104820</v>
      </c>
      <c r="H21" s="52">
        <v>0</v>
      </c>
      <c r="I21" s="59">
        <v>0</v>
      </c>
      <c r="J21" s="64">
        <f t="shared" si="5"/>
        <v>7</v>
      </c>
      <c r="K21" s="14">
        <f t="shared" si="6"/>
        <v>5648970</v>
      </c>
      <c r="L21" s="14">
        <v>5</v>
      </c>
      <c r="M21" s="14">
        <v>3791970</v>
      </c>
      <c r="N21" s="14">
        <v>2</v>
      </c>
      <c r="O21" s="15">
        <v>1857000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.6" customHeight="1">
      <c r="A22" s="102"/>
      <c r="B22" s="105"/>
      <c r="C22" s="46" t="s">
        <v>16</v>
      </c>
      <c r="D22" s="58">
        <f t="shared" si="2"/>
        <v>7</v>
      </c>
      <c r="E22" s="52">
        <f t="shared" si="3"/>
        <v>8718700</v>
      </c>
      <c r="F22" s="52">
        <v>5</v>
      </c>
      <c r="G22" s="52">
        <v>6324700</v>
      </c>
      <c r="H22" s="52">
        <v>2</v>
      </c>
      <c r="I22" s="59">
        <v>2394000</v>
      </c>
      <c r="J22" s="64">
        <f t="shared" si="5"/>
        <v>7</v>
      </c>
      <c r="K22" s="14">
        <f t="shared" si="6"/>
        <v>8729700</v>
      </c>
      <c r="L22" s="14">
        <v>6</v>
      </c>
      <c r="M22" s="14">
        <v>7231200</v>
      </c>
      <c r="N22" s="14">
        <v>1</v>
      </c>
      <c r="O22" s="15">
        <v>1498500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4.6" customHeight="1">
      <c r="A23" s="102"/>
      <c r="B23" s="105"/>
      <c r="C23" s="46" t="s">
        <v>17</v>
      </c>
      <c r="D23" s="58">
        <f t="shared" si="2"/>
        <v>1</v>
      </c>
      <c r="E23" s="52">
        <f t="shared" si="3"/>
        <v>2151102</v>
      </c>
      <c r="F23" s="52">
        <v>1</v>
      </c>
      <c r="G23" s="52">
        <v>2151102</v>
      </c>
      <c r="H23" s="52">
        <v>0</v>
      </c>
      <c r="I23" s="59">
        <v>0</v>
      </c>
      <c r="J23" s="64">
        <f t="shared" si="5"/>
        <v>5</v>
      </c>
      <c r="K23" s="14">
        <f t="shared" si="6"/>
        <v>5011652</v>
      </c>
      <c r="L23" s="14">
        <v>5</v>
      </c>
      <c r="M23" s="14">
        <v>5011652</v>
      </c>
      <c r="N23" s="14">
        <v>0</v>
      </c>
      <c r="O23" s="15">
        <v>0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4.6" customHeight="1">
      <c r="A24" s="102"/>
      <c r="B24" s="105"/>
      <c r="C24" s="46" t="s">
        <v>18</v>
      </c>
      <c r="D24" s="58">
        <f t="shared" si="2"/>
        <v>9</v>
      </c>
      <c r="E24" s="52">
        <f t="shared" si="3"/>
        <v>8353085</v>
      </c>
      <c r="F24" s="52">
        <v>9</v>
      </c>
      <c r="G24" s="52">
        <v>8353085</v>
      </c>
      <c r="H24" s="52">
        <v>0</v>
      </c>
      <c r="I24" s="59">
        <v>0</v>
      </c>
      <c r="J24" s="64">
        <f t="shared" si="5"/>
        <v>13</v>
      </c>
      <c r="K24" s="14">
        <f t="shared" si="6"/>
        <v>12498385</v>
      </c>
      <c r="L24" s="14">
        <v>13</v>
      </c>
      <c r="M24" s="14">
        <v>12498385</v>
      </c>
      <c r="N24" s="14">
        <v>0</v>
      </c>
      <c r="O24" s="15">
        <v>0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4.6" customHeight="1">
      <c r="A25" s="102"/>
      <c r="B25" s="105"/>
      <c r="C25" s="46" t="s">
        <v>19</v>
      </c>
      <c r="D25" s="58">
        <f t="shared" si="2"/>
        <v>7</v>
      </c>
      <c r="E25" s="52">
        <f t="shared" si="3"/>
        <v>8909400</v>
      </c>
      <c r="F25" s="52">
        <v>6</v>
      </c>
      <c r="G25" s="52">
        <v>8188200</v>
      </c>
      <c r="H25" s="52">
        <v>1</v>
      </c>
      <c r="I25" s="59">
        <v>721200</v>
      </c>
      <c r="J25" s="64">
        <f t="shared" si="5"/>
        <v>10</v>
      </c>
      <c r="K25" s="14">
        <f t="shared" si="6"/>
        <v>8125100</v>
      </c>
      <c r="L25" s="14">
        <v>7</v>
      </c>
      <c r="M25" s="14">
        <v>5633000</v>
      </c>
      <c r="N25" s="14">
        <v>3</v>
      </c>
      <c r="O25" s="15">
        <v>2492100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6" customHeight="1">
      <c r="A26" s="102"/>
      <c r="B26" s="105"/>
      <c r="C26" s="46" t="s">
        <v>21</v>
      </c>
      <c r="D26" s="58">
        <f t="shared" si="2"/>
        <v>5</v>
      </c>
      <c r="E26" s="52">
        <f t="shared" si="3"/>
        <v>3307600</v>
      </c>
      <c r="F26" s="52">
        <v>4</v>
      </c>
      <c r="G26" s="52">
        <v>3176000</v>
      </c>
      <c r="H26" s="52">
        <v>1</v>
      </c>
      <c r="I26" s="59">
        <v>131600</v>
      </c>
      <c r="J26" s="64">
        <f t="shared" si="5"/>
        <v>6</v>
      </c>
      <c r="K26" s="14">
        <f t="shared" si="6"/>
        <v>4288250</v>
      </c>
      <c r="L26" s="14">
        <v>4</v>
      </c>
      <c r="M26" s="14">
        <v>2513750</v>
      </c>
      <c r="N26" s="14">
        <v>2</v>
      </c>
      <c r="O26" s="15">
        <v>1774500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4.6" customHeight="1">
      <c r="A27" s="102"/>
      <c r="B27" s="105"/>
      <c r="C27" s="46" t="s">
        <v>23</v>
      </c>
      <c r="D27" s="58">
        <f>F27+H27</f>
        <v>5</v>
      </c>
      <c r="E27" s="52">
        <f>G27+I27</f>
        <v>7375985</v>
      </c>
      <c r="F27" s="52">
        <v>5</v>
      </c>
      <c r="G27" s="52">
        <v>7375985</v>
      </c>
      <c r="H27" s="52">
        <v>0</v>
      </c>
      <c r="I27" s="59">
        <v>0</v>
      </c>
      <c r="J27" s="64">
        <f>L27+N27</f>
        <v>0</v>
      </c>
      <c r="K27" s="14">
        <f>M27+O27</f>
        <v>0</v>
      </c>
      <c r="L27" s="14">
        <v>0</v>
      </c>
      <c r="M27" s="14">
        <v>0</v>
      </c>
      <c r="N27" s="14">
        <v>0</v>
      </c>
      <c r="O27" s="15">
        <v>0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4.6" customHeight="1">
      <c r="A28" s="102"/>
      <c r="B28" s="105"/>
      <c r="C28" s="46" t="s">
        <v>24</v>
      </c>
      <c r="D28" s="58">
        <f>F28+H28</f>
        <v>0</v>
      </c>
      <c r="E28" s="52">
        <f>G28+I28</f>
        <v>0</v>
      </c>
      <c r="F28" s="52">
        <v>0</v>
      </c>
      <c r="G28" s="52">
        <v>0</v>
      </c>
      <c r="H28" s="52">
        <v>0</v>
      </c>
      <c r="I28" s="59">
        <v>0</v>
      </c>
      <c r="J28" s="64">
        <f>L28+N28</f>
        <v>0</v>
      </c>
      <c r="K28" s="14">
        <f>M28+O28</f>
        <v>0</v>
      </c>
      <c r="L28" s="14">
        <v>0</v>
      </c>
      <c r="M28" s="14">
        <v>0</v>
      </c>
      <c r="N28" s="14">
        <v>0</v>
      </c>
      <c r="O28" s="15">
        <v>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7" customHeight="1">
      <c r="A29" s="101" t="s">
        <v>48</v>
      </c>
      <c r="B29" s="103" t="s">
        <v>84</v>
      </c>
      <c r="C29" s="45" t="s">
        <v>1</v>
      </c>
      <c r="D29" s="56">
        <f t="shared" ref="D29:I29" si="7">SUM(D30:D41)</f>
        <v>657</v>
      </c>
      <c r="E29" s="51">
        <f t="shared" si="7"/>
        <v>645433827</v>
      </c>
      <c r="F29" s="51">
        <f t="shared" si="7"/>
        <v>551</v>
      </c>
      <c r="G29" s="51">
        <f t="shared" si="7"/>
        <v>540925272</v>
      </c>
      <c r="H29" s="51">
        <f t="shared" si="7"/>
        <v>106</v>
      </c>
      <c r="I29" s="57">
        <f t="shared" si="7"/>
        <v>104508555</v>
      </c>
      <c r="J29" s="63">
        <f t="shared" ref="J29:O29" si="8">SUM(J30:J41)</f>
        <v>696</v>
      </c>
      <c r="K29" s="12">
        <f t="shared" si="8"/>
        <v>709260722</v>
      </c>
      <c r="L29" s="12">
        <f t="shared" si="8"/>
        <v>600</v>
      </c>
      <c r="M29" s="12">
        <f t="shared" si="8"/>
        <v>611556037</v>
      </c>
      <c r="N29" s="12">
        <f t="shared" si="8"/>
        <v>96</v>
      </c>
      <c r="O29" s="13">
        <f t="shared" si="8"/>
        <v>97704685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7" customHeight="1">
      <c r="A30" s="106"/>
      <c r="B30" s="107"/>
      <c r="C30" s="46" t="s">
        <v>54</v>
      </c>
      <c r="D30" s="58">
        <f t="shared" ref="D30:D41" si="9">F30+H30</f>
        <v>0</v>
      </c>
      <c r="E30" s="52">
        <f t="shared" ref="E30:E41" si="10">G30+I30</f>
        <v>0</v>
      </c>
      <c r="F30" s="52">
        <v>0</v>
      </c>
      <c r="G30" s="52">
        <v>0</v>
      </c>
      <c r="H30" s="52">
        <v>0</v>
      </c>
      <c r="I30" s="59">
        <v>0</v>
      </c>
      <c r="J30" s="64">
        <f t="shared" ref="J30:J41" si="11">L30+N30</f>
        <v>0</v>
      </c>
      <c r="K30" s="14">
        <f t="shared" ref="K30:K41" si="12">M30+O30</f>
        <v>0</v>
      </c>
      <c r="L30" s="14">
        <v>0</v>
      </c>
      <c r="M30" s="14">
        <v>0</v>
      </c>
      <c r="N30" s="14">
        <v>0</v>
      </c>
      <c r="O30" s="15">
        <v>0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7" customHeight="1">
      <c r="A31" s="106"/>
      <c r="B31" s="107"/>
      <c r="C31" s="47" t="s">
        <v>34</v>
      </c>
      <c r="D31" s="58">
        <f t="shared" si="9"/>
        <v>21</v>
      </c>
      <c r="E31" s="52">
        <f t="shared" si="10"/>
        <v>5300350</v>
      </c>
      <c r="F31" s="52">
        <v>18</v>
      </c>
      <c r="G31" s="52">
        <v>4871050</v>
      </c>
      <c r="H31" s="52">
        <v>3</v>
      </c>
      <c r="I31" s="59">
        <v>429300</v>
      </c>
      <c r="J31" s="64">
        <f t="shared" si="11"/>
        <v>20</v>
      </c>
      <c r="K31" s="14">
        <f t="shared" si="12"/>
        <v>7293670</v>
      </c>
      <c r="L31" s="14">
        <v>17</v>
      </c>
      <c r="M31" s="14">
        <v>5644720</v>
      </c>
      <c r="N31" s="14">
        <v>3</v>
      </c>
      <c r="O31" s="15">
        <v>1648950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7" customHeight="1">
      <c r="A32" s="106"/>
      <c r="B32" s="107"/>
      <c r="C32" s="47" t="s">
        <v>35</v>
      </c>
      <c r="D32" s="58">
        <f t="shared" si="9"/>
        <v>57</v>
      </c>
      <c r="E32" s="52">
        <f t="shared" si="10"/>
        <v>30291340</v>
      </c>
      <c r="F32" s="52">
        <v>39</v>
      </c>
      <c r="G32" s="52">
        <v>20444940</v>
      </c>
      <c r="H32" s="52">
        <v>18</v>
      </c>
      <c r="I32" s="59">
        <v>9846400</v>
      </c>
      <c r="J32" s="64">
        <f t="shared" si="11"/>
        <v>57</v>
      </c>
      <c r="K32" s="14">
        <f t="shared" si="12"/>
        <v>41386410</v>
      </c>
      <c r="L32" s="14">
        <v>48</v>
      </c>
      <c r="M32" s="14">
        <v>35640360</v>
      </c>
      <c r="N32" s="14">
        <v>9</v>
      </c>
      <c r="O32" s="15">
        <v>5746050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68" ht="27" customHeight="1">
      <c r="A33" s="106"/>
      <c r="B33" s="107"/>
      <c r="C33" s="47" t="s">
        <v>36</v>
      </c>
      <c r="D33" s="58">
        <f t="shared" si="9"/>
        <v>69</v>
      </c>
      <c r="E33" s="52">
        <f t="shared" si="10"/>
        <v>62011392</v>
      </c>
      <c r="F33" s="52">
        <v>54</v>
      </c>
      <c r="G33" s="52">
        <v>47226792</v>
      </c>
      <c r="H33" s="52">
        <v>15</v>
      </c>
      <c r="I33" s="59">
        <v>14784600</v>
      </c>
      <c r="J33" s="64">
        <f t="shared" si="11"/>
        <v>82</v>
      </c>
      <c r="K33" s="14">
        <f t="shared" si="12"/>
        <v>85740370</v>
      </c>
      <c r="L33" s="14">
        <v>69</v>
      </c>
      <c r="M33" s="14">
        <v>70597420</v>
      </c>
      <c r="N33" s="14">
        <v>13</v>
      </c>
      <c r="O33" s="15">
        <v>15142950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68" ht="27" customHeight="1">
      <c r="A34" s="106"/>
      <c r="B34" s="107"/>
      <c r="C34" s="47" t="s">
        <v>37</v>
      </c>
      <c r="D34" s="58">
        <f t="shared" si="9"/>
        <v>61</v>
      </c>
      <c r="E34" s="52">
        <f t="shared" si="10"/>
        <v>62938605</v>
      </c>
      <c r="F34" s="52">
        <v>54</v>
      </c>
      <c r="G34" s="52">
        <v>54812135</v>
      </c>
      <c r="H34" s="52">
        <v>7</v>
      </c>
      <c r="I34" s="59">
        <v>8126470</v>
      </c>
      <c r="J34" s="64">
        <f t="shared" si="11"/>
        <v>77</v>
      </c>
      <c r="K34" s="14">
        <f t="shared" si="12"/>
        <v>87020345</v>
      </c>
      <c r="L34" s="14">
        <v>65</v>
      </c>
      <c r="M34" s="14">
        <v>74272645</v>
      </c>
      <c r="N34" s="14">
        <v>12</v>
      </c>
      <c r="O34" s="15">
        <v>12747700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68" ht="27" customHeight="1">
      <c r="A35" s="106"/>
      <c r="B35" s="107"/>
      <c r="C35" s="47" t="s">
        <v>38</v>
      </c>
      <c r="D35" s="58">
        <f t="shared" si="9"/>
        <v>69</v>
      </c>
      <c r="E35" s="52">
        <f t="shared" si="10"/>
        <v>68658177</v>
      </c>
      <c r="F35" s="52">
        <v>58</v>
      </c>
      <c r="G35" s="52">
        <v>57253277</v>
      </c>
      <c r="H35" s="52">
        <v>11</v>
      </c>
      <c r="I35" s="59">
        <v>11404900</v>
      </c>
      <c r="J35" s="64">
        <f t="shared" si="11"/>
        <v>67</v>
      </c>
      <c r="K35" s="14">
        <f t="shared" si="12"/>
        <v>62448049</v>
      </c>
      <c r="L35" s="14">
        <v>64</v>
      </c>
      <c r="M35" s="14">
        <v>58060649</v>
      </c>
      <c r="N35" s="14">
        <v>3</v>
      </c>
      <c r="O35" s="15">
        <v>4387400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68" ht="27" customHeight="1">
      <c r="A36" s="106"/>
      <c r="B36" s="107"/>
      <c r="C36" s="47" t="s">
        <v>39</v>
      </c>
      <c r="D36" s="58">
        <f t="shared" si="9"/>
        <v>75</v>
      </c>
      <c r="E36" s="52">
        <f t="shared" si="10"/>
        <v>66394877</v>
      </c>
      <c r="F36" s="52">
        <v>60</v>
      </c>
      <c r="G36" s="52">
        <v>50228777</v>
      </c>
      <c r="H36" s="52">
        <v>15</v>
      </c>
      <c r="I36" s="59">
        <v>16166100</v>
      </c>
      <c r="J36" s="64">
        <f t="shared" si="11"/>
        <v>72</v>
      </c>
      <c r="K36" s="14">
        <f t="shared" si="12"/>
        <v>62706780</v>
      </c>
      <c r="L36" s="14">
        <v>64</v>
      </c>
      <c r="M36" s="14">
        <v>55143095</v>
      </c>
      <c r="N36" s="14">
        <v>8</v>
      </c>
      <c r="O36" s="15">
        <v>7563685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68" ht="27" customHeight="1">
      <c r="A37" s="106"/>
      <c r="B37" s="107"/>
      <c r="C37" s="47" t="s">
        <v>40</v>
      </c>
      <c r="D37" s="58">
        <f t="shared" si="9"/>
        <v>76</v>
      </c>
      <c r="E37" s="52">
        <f t="shared" si="10"/>
        <v>73658366</v>
      </c>
      <c r="F37" s="52">
        <v>73</v>
      </c>
      <c r="G37" s="52">
        <v>70896266</v>
      </c>
      <c r="H37" s="52">
        <v>3</v>
      </c>
      <c r="I37" s="59">
        <v>2762100</v>
      </c>
      <c r="J37" s="64">
        <f t="shared" si="11"/>
        <v>82</v>
      </c>
      <c r="K37" s="14">
        <f t="shared" si="12"/>
        <v>85488439</v>
      </c>
      <c r="L37" s="14">
        <v>76</v>
      </c>
      <c r="M37" s="14">
        <v>79189539</v>
      </c>
      <c r="N37" s="14">
        <v>6</v>
      </c>
      <c r="O37" s="15">
        <v>6298900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68" ht="27" customHeight="1">
      <c r="A38" s="106"/>
      <c r="B38" s="107"/>
      <c r="C38" s="47" t="s">
        <v>41</v>
      </c>
      <c r="D38" s="58">
        <f t="shared" si="9"/>
        <v>102</v>
      </c>
      <c r="E38" s="52">
        <f t="shared" si="10"/>
        <v>121937550</v>
      </c>
      <c r="F38" s="52">
        <v>89</v>
      </c>
      <c r="G38" s="52">
        <v>107752980</v>
      </c>
      <c r="H38" s="52">
        <v>13</v>
      </c>
      <c r="I38" s="59">
        <v>14184570</v>
      </c>
      <c r="J38" s="64">
        <f t="shared" si="11"/>
        <v>110</v>
      </c>
      <c r="K38" s="14">
        <f t="shared" si="12"/>
        <v>123842740</v>
      </c>
      <c r="L38" s="14">
        <v>88</v>
      </c>
      <c r="M38" s="14">
        <v>101395590</v>
      </c>
      <c r="N38" s="14">
        <v>22</v>
      </c>
      <c r="O38" s="15">
        <v>22447150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68" ht="27" customHeight="1">
      <c r="A39" s="106"/>
      <c r="B39" s="107"/>
      <c r="C39" s="47" t="s">
        <v>42</v>
      </c>
      <c r="D39" s="58">
        <f t="shared" si="9"/>
        <v>82</v>
      </c>
      <c r="E39" s="52">
        <f t="shared" si="10"/>
        <v>105164865</v>
      </c>
      <c r="F39" s="52">
        <v>69</v>
      </c>
      <c r="G39" s="52">
        <v>87761400</v>
      </c>
      <c r="H39" s="52">
        <v>13</v>
      </c>
      <c r="I39" s="59">
        <v>17403465</v>
      </c>
      <c r="J39" s="64">
        <f t="shared" si="11"/>
        <v>73</v>
      </c>
      <c r="K39" s="14">
        <f t="shared" si="12"/>
        <v>85367810</v>
      </c>
      <c r="L39" s="14">
        <v>65</v>
      </c>
      <c r="M39" s="14">
        <v>74142310</v>
      </c>
      <c r="N39" s="14">
        <v>8</v>
      </c>
      <c r="O39" s="15">
        <v>11225500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68" ht="27" customHeight="1">
      <c r="A40" s="106"/>
      <c r="B40" s="107"/>
      <c r="C40" s="47" t="s">
        <v>43</v>
      </c>
      <c r="D40" s="58">
        <f t="shared" si="9"/>
        <v>30</v>
      </c>
      <c r="E40" s="52">
        <f t="shared" si="10"/>
        <v>33581505</v>
      </c>
      <c r="F40" s="52">
        <v>23</v>
      </c>
      <c r="G40" s="52">
        <v>24920055</v>
      </c>
      <c r="H40" s="52">
        <v>7</v>
      </c>
      <c r="I40" s="59">
        <v>8661450</v>
      </c>
      <c r="J40" s="64">
        <f t="shared" si="11"/>
        <v>45</v>
      </c>
      <c r="K40" s="14">
        <f t="shared" si="12"/>
        <v>55271309</v>
      </c>
      <c r="L40" s="14">
        <v>38</v>
      </c>
      <c r="M40" s="14">
        <v>49670609</v>
      </c>
      <c r="N40" s="14">
        <v>7</v>
      </c>
      <c r="O40" s="15">
        <v>5600700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68" ht="27" customHeight="1" thickBot="1">
      <c r="A41" s="156"/>
      <c r="B41" s="110"/>
      <c r="C41" s="48" t="s">
        <v>55</v>
      </c>
      <c r="D41" s="61">
        <f t="shared" si="9"/>
        <v>15</v>
      </c>
      <c r="E41" s="53">
        <f t="shared" si="10"/>
        <v>15496800</v>
      </c>
      <c r="F41" s="53">
        <v>14</v>
      </c>
      <c r="G41" s="53">
        <v>14757600</v>
      </c>
      <c r="H41" s="53">
        <v>1</v>
      </c>
      <c r="I41" s="62">
        <v>739200</v>
      </c>
      <c r="J41" s="65">
        <f t="shared" si="11"/>
        <v>11</v>
      </c>
      <c r="K41" s="16">
        <f t="shared" si="12"/>
        <v>12694800</v>
      </c>
      <c r="L41" s="16">
        <v>6</v>
      </c>
      <c r="M41" s="16">
        <v>7799100</v>
      </c>
      <c r="N41" s="16">
        <v>5</v>
      </c>
      <c r="O41" s="17">
        <v>4895700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68" s="67" customFormat="1" ht="53.45" customHeight="1">
      <c r="A42" s="10"/>
      <c r="B42" s="10"/>
      <c r="C42" s="10"/>
      <c r="D42" s="155" t="s">
        <v>124</v>
      </c>
      <c r="E42" s="136"/>
      <c r="F42" s="136"/>
      <c r="G42" s="136"/>
      <c r="H42" s="136"/>
      <c r="I42" s="136"/>
      <c r="J42" s="136" t="s">
        <v>125</v>
      </c>
      <c r="K42" s="136"/>
      <c r="L42" s="136"/>
      <c r="M42" s="136"/>
      <c r="N42" s="136"/>
      <c r="O42" s="136"/>
      <c r="U42" s="10"/>
      <c r="AB42" s="10"/>
      <c r="AI42" s="10"/>
      <c r="AQ42" s="10"/>
      <c r="BP42" s="10"/>
    </row>
    <row r="43" spans="1:68" ht="16.5">
      <c r="C43" s="7"/>
      <c r="D43" s="7"/>
      <c r="E43" s="7"/>
      <c r="F43" s="7"/>
      <c r="G43" s="7"/>
      <c r="H43" s="7"/>
      <c r="I43" s="8"/>
      <c r="J43" s="7"/>
      <c r="K43" s="7"/>
      <c r="L43" s="7"/>
      <c r="M43" s="7"/>
      <c r="N43" s="7"/>
      <c r="O43" s="8"/>
    </row>
    <row r="44" spans="1:68" ht="16.5">
      <c r="C44" s="7"/>
      <c r="D44" s="7"/>
      <c r="E44" s="7"/>
      <c r="F44" s="7"/>
      <c r="G44" s="7"/>
      <c r="H44" s="7"/>
      <c r="I44" s="8"/>
      <c r="J44" s="7"/>
      <c r="K44" s="7"/>
      <c r="L44" s="7"/>
      <c r="M44" s="7"/>
      <c r="N44" s="7"/>
      <c r="O44" s="8"/>
    </row>
    <row r="45" spans="1:68" ht="16.5">
      <c r="C45" s="7"/>
      <c r="D45" s="7"/>
      <c r="E45" s="7"/>
      <c r="F45" s="7"/>
      <c r="G45" s="7"/>
      <c r="H45" s="7"/>
      <c r="I45" s="8"/>
      <c r="J45" s="7"/>
      <c r="K45" s="7"/>
      <c r="L45" s="7"/>
      <c r="M45" s="7"/>
      <c r="N45" s="7"/>
      <c r="O45" s="8"/>
    </row>
    <row r="46" spans="1:68" ht="16.5">
      <c r="C46" s="7"/>
      <c r="D46" s="7"/>
      <c r="E46" s="7"/>
      <c r="F46" s="7"/>
      <c r="G46" s="7"/>
      <c r="H46" s="7"/>
      <c r="I46" s="8"/>
      <c r="J46" s="7"/>
      <c r="K46" s="7"/>
      <c r="L46" s="7"/>
      <c r="M46" s="7"/>
      <c r="N46" s="7"/>
      <c r="O46" s="8"/>
    </row>
    <row r="47" spans="1:68" ht="16.5">
      <c r="C47" s="7"/>
      <c r="D47" s="7"/>
      <c r="E47" s="7"/>
      <c r="F47" s="7"/>
      <c r="G47" s="7"/>
      <c r="H47" s="7"/>
      <c r="I47" s="8"/>
      <c r="J47" s="7"/>
      <c r="K47" s="7"/>
      <c r="L47" s="7"/>
      <c r="M47" s="7"/>
      <c r="N47" s="7"/>
      <c r="O47" s="8"/>
    </row>
    <row r="48" spans="1:68" ht="16.5">
      <c r="C48" s="7"/>
      <c r="D48" s="7"/>
      <c r="E48" s="7"/>
      <c r="F48" s="7"/>
      <c r="G48" s="7"/>
      <c r="H48" s="7"/>
      <c r="I48" s="8"/>
      <c r="J48" s="7"/>
      <c r="K48" s="7"/>
      <c r="L48" s="7"/>
      <c r="M48" s="7"/>
      <c r="N48" s="7"/>
      <c r="O48" s="8"/>
    </row>
    <row r="49" spans="3:15" ht="16.5">
      <c r="C49" s="7"/>
      <c r="D49" s="7"/>
      <c r="E49" s="7"/>
      <c r="F49" s="7"/>
      <c r="G49" s="7"/>
      <c r="H49" s="7"/>
      <c r="I49" s="8"/>
      <c r="J49" s="7"/>
      <c r="K49" s="7"/>
      <c r="L49" s="7"/>
      <c r="M49" s="7"/>
      <c r="N49" s="7"/>
      <c r="O49" s="8"/>
    </row>
    <row r="50" spans="3:15" ht="16.5">
      <c r="C50" s="7"/>
      <c r="D50" s="7"/>
      <c r="E50" s="7"/>
      <c r="F50" s="7"/>
      <c r="G50" s="7"/>
      <c r="H50" s="7"/>
      <c r="I50" s="8"/>
      <c r="J50" s="7"/>
      <c r="K50" s="7"/>
      <c r="L50" s="7"/>
      <c r="M50" s="7"/>
      <c r="N50" s="7"/>
      <c r="O50" s="8"/>
    </row>
    <row r="51" spans="3:15" ht="16.5">
      <c r="C51" s="7"/>
      <c r="D51" s="7"/>
      <c r="E51" s="7"/>
      <c r="F51" s="7"/>
      <c r="G51" s="7"/>
      <c r="H51" s="7"/>
      <c r="I51" s="8"/>
      <c r="J51" s="7"/>
      <c r="K51" s="7"/>
      <c r="L51" s="7"/>
      <c r="M51" s="7"/>
      <c r="N51" s="7"/>
      <c r="O51" s="8"/>
    </row>
    <row r="52" spans="3:15" ht="16.5">
      <c r="C52" s="7"/>
      <c r="D52" s="7"/>
      <c r="E52" s="7"/>
      <c r="F52" s="7"/>
      <c r="G52" s="7"/>
      <c r="H52" s="7"/>
      <c r="I52" s="8"/>
      <c r="J52" s="7"/>
      <c r="K52" s="7"/>
      <c r="L52" s="7"/>
      <c r="M52" s="7"/>
      <c r="N52" s="7"/>
      <c r="O52" s="8"/>
    </row>
    <row r="53" spans="3:15" ht="16.5">
      <c r="C53" s="7"/>
      <c r="D53" s="7"/>
      <c r="E53" s="7"/>
      <c r="F53" s="7"/>
      <c r="G53" s="7"/>
      <c r="H53" s="7"/>
      <c r="I53" s="8"/>
      <c r="J53" s="7"/>
      <c r="K53" s="7"/>
      <c r="L53" s="7"/>
      <c r="M53" s="7"/>
      <c r="N53" s="7"/>
      <c r="O53" s="8"/>
    </row>
    <row r="54" spans="3:15" ht="16.5">
      <c r="C54" s="7"/>
      <c r="D54" s="7"/>
      <c r="E54" s="7"/>
      <c r="F54" s="7"/>
      <c r="G54" s="7"/>
      <c r="H54" s="7"/>
      <c r="I54" s="8"/>
      <c r="J54" s="7"/>
      <c r="K54" s="7"/>
      <c r="L54" s="7"/>
      <c r="M54" s="7"/>
      <c r="N54" s="7"/>
      <c r="O54" s="8"/>
    </row>
    <row r="55" spans="3:15" ht="16.5">
      <c r="C55" s="7"/>
      <c r="D55" s="7"/>
      <c r="E55" s="7"/>
      <c r="F55" s="7"/>
      <c r="G55" s="7"/>
      <c r="H55" s="7"/>
      <c r="I55" s="8"/>
      <c r="J55" s="7"/>
      <c r="K55" s="7"/>
      <c r="L55" s="7"/>
      <c r="M55" s="7"/>
      <c r="N55" s="7"/>
      <c r="O55" s="8"/>
    </row>
    <row r="56" spans="3:15" ht="16.5">
      <c r="C56" s="7"/>
      <c r="D56" s="7"/>
      <c r="E56" s="7"/>
      <c r="F56" s="7"/>
      <c r="G56" s="7"/>
      <c r="H56" s="7"/>
      <c r="I56" s="8"/>
      <c r="J56" s="7"/>
      <c r="K56" s="7"/>
      <c r="L56" s="7"/>
      <c r="M56" s="7"/>
      <c r="N56" s="7"/>
      <c r="O56" s="8"/>
    </row>
    <row r="57" spans="3:15" ht="16.5">
      <c r="C57" s="7"/>
      <c r="D57" s="7"/>
      <c r="E57" s="7"/>
      <c r="F57" s="7"/>
      <c r="G57" s="7"/>
      <c r="H57" s="7"/>
      <c r="I57" s="8"/>
      <c r="J57" s="7"/>
      <c r="K57" s="7"/>
      <c r="L57" s="7"/>
      <c r="M57" s="7"/>
      <c r="N57" s="7"/>
      <c r="O57" s="8"/>
    </row>
    <row r="58" spans="3:15" ht="16.5">
      <c r="C58" s="7"/>
      <c r="D58" s="7"/>
      <c r="E58" s="7"/>
      <c r="F58" s="7"/>
      <c r="G58" s="7"/>
      <c r="H58" s="7"/>
      <c r="I58" s="8"/>
      <c r="J58" s="7"/>
      <c r="K58" s="7"/>
      <c r="L58" s="7"/>
      <c r="M58" s="7"/>
      <c r="N58" s="7"/>
      <c r="O58" s="8"/>
    </row>
    <row r="59" spans="3:15" ht="16.5">
      <c r="C59" s="7"/>
      <c r="D59" s="7"/>
      <c r="E59" s="7"/>
      <c r="F59" s="7"/>
      <c r="G59" s="7"/>
      <c r="H59" s="7"/>
      <c r="I59" s="8"/>
      <c r="J59" s="7"/>
      <c r="K59" s="7"/>
      <c r="L59" s="7"/>
      <c r="M59" s="7"/>
      <c r="N59" s="7"/>
      <c r="O59" s="8"/>
    </row>
    <row r="60" spans="3:15" ht="16.5">
      <c r="C60" s="7"/>
      <c r="D60" s="7"/>
      <c r="E60" s="7"/>
      <c r="F60" s="7"/>
      <c r="G60" s="7"/>
      <c r="H60" s="7"/>
      <c r="I60" s="8"/>
      <c r="J60" s="7"/>
      <c r="K60" s="7"/>
      <c r="L60" s="7"/>
      <c r="M60" s="7"/>
      <c r="N60" s="7"/>
      <c r="O60" s="8"/>
    </row>
    <row r="61" spans="3:15" ht="16.5">
      <c r="C61" s="7"/>
      <c r="D61" s="7"/>
      <c r="E61" s="7"/>
      <c r="F61" s="7"/>
      <c r="G61" s="7"/>
      <c r="H61" s="7"/>
      <c r="I61" s="8"/>
      <c r="J61" s="7"/>
      <c r="K61" s="7"/>
      <c r="L61" s="7"/>
      <c r="M61" s="7"/>
      <c r="N61" s="7"/>
      <c r="O61" s="8"/>
    </row>
    <row r="62" spans="3:15" ht="16.5">
      <c r="C62" s="7"/>
      <c r="D62" s="7"/>
      <c r="E62" s="7"/>
      <c r="F62" s="7"/>
      <c r="G62" s="7"/>
      <c r="H62" s="7"/>
      <c r="I62" s="8"/>
      <c r="J62" s="7"/>
      <c r="K62" s="7"/>
      <c r="L62" s="7"/>
      <c r="M62" s="7"/>
      <c r="N62" s="7"/>
      <c r="O62" s="8"/>
    </row>
    <row r="63" spans="3:15" ht="16.5">
      <c r="C63" s="7"/>
      <c r="D63" s="7"/>
      <c r="E63" s="7"/>
      <c r="F63" s="7"/>
      <c r="G63" s="7"/>
      <c r="H63" s="7"/>
      <c r="I63" s="8"/>
      <c r="J63" s="7"/>
      <c r="K63" s="7"/>
      <c r="L63" s="7"/>
      <c r="M63" s="7"/>
      <c r="N63" s="7"/>
      <c r="O63" s="8"/>
    </row>
    <row r="64" spans="3:15" ht="16.5">
      <c r="C64" s="7"/>
      <c r="D64" s="7"/>
      <c r="E64" s="7"/>
      <c r="F64" s="7"/>
      <c r="G64" s="7"/>
      <c r="H64" s="7"/>
      <c r="I64" s="8"/>
      <c r="J64" s="7"/>
      <c r="K64" s="7"/>
      <c r="L64" s="7"/>
      <c r="M64" s="7"/>
      <c r="N64" s="7"/>
      <c r="O64" s="8"/>
    </row>
    <row r="65" spans="3:15" ht="16.5">
      <c r="C65" s="7"/>
      <c r="D65" s="7"/>
      <c r="E65" s="7"/>
      <c r="F65" s="7"/>
      <c r="G65" s="7"/>
      <c r="H65" s="7"/>
      <c r="I65" s="8"/>
      <c r="J65" s="7"/>
      <c r="K65" s="7"/>
      <c r="L65" s="7"/>
      <c r="M65" s="7"/>
      <c r="N65" s="7"/>
      <c r="O65" s="8"/>
    </row>
    <row r="66" spans="3:15" ht="16.5">
      <c r="C66" s="7"/>
      <c r="D66" s="7"/>
      <c r="E66" s="7"/>
      <c r="F66" s="7"/>
      <c r="G66" s="7"/>
      <c r="H66" s="7"/>
      <c r="I66" s="8"/>
      <c r="J66" s="7"/>
      <c r="K66" s="7"/>
      <c r="L66" s="7"/>
      <c r="M66" s="7"/>
      <c r="N66" s="7"/>
      <c r="O66" s="8"/>
    </row>
    <row r="67" spans="3:15" ht="16.5">
      <c r="C67" s="7"/>
      <c r="D67" s="7"/>
      <c r="E67" s="7"/>
      <c r="F67" s="7"/>
      <c r="G67" s="7"/>
      <c r="H67" s="7"/>
      <c r="I67" s="8"/>
      <c r="J67" s="7"/>
      <c r="K67" s="7"/>
      <c r="L67" s="7"/>
      <c r="M67" s="7"/>
      <c r="N67" s="7"/>
      <c r="O67" s="8"/>
    </row>
    <row r="68" spans="3:15" ht="16.5">
      <c r="C68" s="7"/>
      <c r="D68" s="7"/>
      <c r="E68" s="7"/>
      <c r="F68" s="7"/>
      <c r="G68" s="7"/>
      <c r="H68" s="7"/>
      <c r="J68" s="7"/>
      <c r="K68" s="7"/>
      <c r="L68" s="7"/>
      <c r="M68" s="7"/>
      <c r="N68" s="7"/>
    </row>
    <row r="69" spans="3:15" ht="16.5">
      <c r="C69" s="7"/>
      <c r="D69" s="7"/>
      <c r="E69" s="7"/>
      <c r="F69" s="7"/>
      <c r="G69" s="7"/>
      <c r="H69" s="7"/>
      <c r="J69" s="7"/>
      <c r="K69" s="7"/>
      <c r="L69" s="7"/>
      <c r="M69" s="7"/>
      <c r="N69" s="7"/>
    </row>
  </sheetData>
  <mergeCells count="18">
    <mergeCell ref="J1:O1"/>
    <mergeCell ref="D1:I1"/>
    <mergeCell ref="A29:A41"/>
    <mergeCell ref="B29:B41"/>
    <mergeCell ref="A3:A5"/>
    <mergeCell ref="B3:C5"/>
    <mergeCell ref="A6:A28"/>
    <mergeCell ref="B6:B28"/>
    <mergeCell ref="D42:I42"/>
    <mergeCell ref="J42:O42"/>
    <mergeCell ref="D3:I3"/>
    <mergeCell ref="J3:O3"/>
    <mergeCell ref="D4:E4"/>
    <mergeCell ref="F4:G4"/>
    <mergeCell ref="H4:I4"/>
    <mergeCell ref="J4:K4"/>
    <mergeCell ref="L4:M4"/>
    <mergeCell ref="N4:O4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orientation="portrait" r:id="rId1"/>
  <headerFooter alignWithMargins="0"/>
  <rowBreaks count="1" manualBreakCount="1">
    <brk id="28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P7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75" style="4" customWidth="1"/>
    <col min="3" max="3" width="11.125" style="3" customWidth="1"/>
    <col min="4" max="4" width="7.75" style="2" customWidth="1"/>
    <col min="5" max="5" width="12.75" style="2" customWidth="1"/>
    <col min="6" max="6" width="7.75" style="2" customWidth="1"/>
    <col min="7" max="7" width="12.75" style="2" customWidth="1"/>
    <col min="8" max="8" width="7.75" style="2" customWidth="1"/>
    <col min="9" max="9" width="12.75" style="2" customWidth="1"/>
    <col min="10" max="10" width="7.75" style="2" customWidth="1"/>
    <col min="11" max="11" width="12.75" style="2" customWidth="1"/>
    <col min="12" max="12" width="7.75" style="2" customWidth="1"/>
    <col min="13" max="13" width="12.75" style="2" customWidth="1"/>
    <col min="14" max="14" width="7.75" style="2" customWidth="1"/>
    <col min="15" max="15" width="12.75" style="2" customWidth="1"/>
    <col min="16" max="16" width="7.75" style="2" customWidth="1"/>
    <col min="17" max="17" width="12.75" style="2" customWidth="1"/>
    <col min="18" max="18" width="7.75" style="2" customWidth="1"/>
    <col min="19" max="19" width="12.75" style="2" customWidth="1"/>
    <col min="20" max="20" width="7.75" style="2" customWidth="1"/>
    <col min="21" max="21" width="12.75" style="2" customWidth="1"/>
    <col min="22" max="22" width="7.75" style="2" customWidth="1"/>
    <col min="23" max="23" width="12.75" style="2" customWidth="1"/>
    <col min="24" max="24" width="7.75" style="2" customWidth="1"/>
    <col min="25" max="25" width="12.75" style="2" customWidth="1"/>
    <col min="26" max="26" width="7.75" style="2" customWidth="1"/>
    <col min="27" max="27" width="12.75" style="2" customWidth="1"/>
    <col min="28" max="28" width="14.625" style="2" customWidth="1"/>
    <col min="29" max="29" width="9.625" style="2" customWidth="1"/>
    <col min="30" max="30" width="14.625" style="2" customWidth="1"/>
    <col min="31" max="31" width="9.625" style="2" customWidth="1"/>
    <col min="32" max="32" width="14.625" style="2" customWidth="1"/>
    <col min="33" max="16384" width="9" style="2"/>
  </cols>
  <sheetData>
    <row r="1" spans="1:38" s="73" customFormat="1" ht="42" customHeight="1">
      <c r="A1" s="28"/>
      <c r="B1" s="72"/>
      <c r="C1" s="72"/>
      <c r="D1" s="140" t="s">
        <v>128</v>
      </c>
      <c r="E1" s="141"/>
      <c r="F1" s="141"/>
      <c r="G1" s="141"/>
      <c r="H1" s="141"/>
      <c r="I1" s="141"/>
      <c r="J1" s="140" t="s">
        <v>128</v>
      </c>
      <c r="K1" s="141"/>
      <c r="L1" s="141"/>
      <c r="M1" s="141"/>
      <c r="N1" s="141"/>
      <c r="O1" s="141"/>
      <c r="P1" s="140" t="s">
        <v>128</v>
      </c>
      <c r="Q1" s="141"/>
      <c r="R1" s="141"/>
      <c r="S1" s="141"/>
      <c r="T1" s="141"/>
      <c r="U1" s="141"/>
      <c r="V1" s="140" t="s">
        <v>128</v>
      </c>
      <c r="W1" s="141"/>
      <c r="X1" s="141"/>
      <c r="Y1" s="141"/>
      <c r="Z1" s="141"/>
      <c r="AA1" s="141"/>
    </row>
    <row r="2" spans="1:38" ht="17.25" customHeight="1" thickBot="1">
      <c r="A2" s="1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38" s="6" customFormat="1" ht="23.45" customHeight="1">
      <c r="A3" s="157" t="s">
        <v>0</v>
      </c>
      <c r="B3" s="113" t="s">
        <v>56</v>
      </c>
      <c r="C3" s="158"/>
      <c r="D3" s="119" t="s">
        <v>85</v>
      </c>
      <c r="E3" s="120"/>
      <c r="F3" s="120"/>
      <c r="G3" s="120"/>
      <c r="H3" s="120"/>
      <c r="I3" s="121"/>
      <c r="J3" s="142" t="s">
        <v>86</v>
      </c>
      <c r="K3" s="143"/>
      <c r="L3" s="143"/>
      <c r="M3" s="143"/>
      <c r="N3" s="143"/>
      <c r="O3" s="144"/>
      <c r="P3" s="119" t="s">
        <v>87</v>
      </c>
      <c r="Q3" s="120"/>
      <c r="R3" s="120"/>
      <c r="S3" s="120"/>
      <c r="T3" s="120"/>
      <c r="U3" s="121"/>
      <c r="V3" s="142" t="s">
        <v>88</v>
      </c>
      <c r="W3" s="143"/>
      <c r="X3" s="143"/>
      <c r="Y3" s="143"/>
      <c r="Z3" s="143"/>
      <c r="AA3" s="144"/>
    </row>
    <row r="4" spans="1:38" s="3" customFormat="1" ht="23.45" customHeight="1">
      <c r="A4" s="112"/>
      <c r="B4" s="115"/>
      <c r="C4" s="159"/>
      <c r="D4" s="152" t="s">
        <v>92</v>
      </c>
      <c r="E4" s="153"/>
      <c r="F4" s="153" t="s">
        <v>93</v>
      </c>
      <c r="G4" s="153"/>
      <c r="H4" s="153" t="s">
        <v>94</v>
      </c>
      <c r="I4" s="154"/>
      <c r="J4" s="149" t="s">
        <v>92</v>
      </c>
      <c r="K4" s="150"/>
      <c r="L4" s="150" t="s">
        <v>93</v>
      </c>
      <c r="M4" s="150"/>
      <c r="N4" s="150" t="s">
        <v>94</v>
      </c>
      <c r="O4" s="151"/>
      <c r="P4" s="152" t="s">
        <v>92</v>
      </c>
      <c r="Q4" s="153"/>
      <c r="R4" s="153" t="s">
        <v>93</v>
      </c>
      <c r="S4" s="153"/>
      <c r="T4" s="153" t="s">
        <v>94</v>
      </c>
      <c r="U4" s="154"/>
      <c r="V4" s="149" t="s">
        <v>92</v>
      </c>
      <c r="W4" s="150"/>
      <c r="X4" s="150" t="s">
        <v>93</v>
      </c>
      <c r="Y4" s="150"/>
      <c r="Z4" s="150" t="s">
        <v>94</v>
      </c>
      <c r="AA4" s="151"/>
    </row>
    <row r="5" spans="1:38" ht="23.45" customHeight="1">
      <c r="A5" s="112"/>
      <c r="B5" s="117"/>
      <c r="C5" s="160"/>
      <c r="D5" s="33" t="s">
        <v>26</v>
      </c>
      <c r="E5" s="29" t="s">
        <v>27</v>
      </c>
      <c r="F5" s="29" t="s">
        <v>26</v>
      </c>
      <c r="G5" s="29" t="s">
        <v>27</v>
      </c>
      <c r="H5" s="29" t="s">
        <v>26</v>
      </c>
      <c r="I5" s="34" t="s">
        <v>27</v>
      </c>
      <c r="J5" s="41" t="s">
        <v>26</v>
      </c>
      <c r="K5" s="26" t="s">
        <v>27</v>
      </c>
      <c r="L5" s="26" t="s">
        <v>26</v>
      </c>
      <c r="M5" s="26" t="s">
        <v>27</v>
      </c>
      <c r="N5" s="26" t="s">
        <v>26</v>
      </c>
      <c r="O5" s="27" t="s">
        <v>27</v>
      </c>
      <c r="P5" s="33" t="s">
        <v>26</v>
      </c>
      <c r="Q5" s="29" t="s">
        <v>27</v>
      </c>
      <c r="R5" s="29" t="s">
        <v>26</v>
      </c>
      <c r="S5" s="29" t="s">
        <v>27</v>
      </c>
      <c r="T5" s="29" t="s">
        <v>26</v>
      </c>
      <c r="U5" s="34" t="s">
        <v>27</v>
      </c>
      <c r="V5" s="41" t="s">
        <v>26</v>
      </c>
      <c r="W5" s="26" t="s">
        <v>27</v>
      </c>
      <c r="X5" s="26" t="s">
        <v>26</v>
      </c>
      <c r="Y5" s="26" t="s">
        <v>27</v>
      </c>
      <c r="Z5" s="26" t="s">
        <v>26</v>
      </c>
      <c r="AA5" s="27" t="s">
        <v>27</v>
      </c>
    </row>
    <row r="6" spans="1:38" ht="22.9" customHeight="1">
      <c r="A6" s="101" t="s">
        <v>28</v>
      </c>
      <c r="B6" s="103" t="s">
        <v>45</v>
      </c>
      <c r="C6" s="45" t="s">
        <v>1</v>
      </c>
      <c r="D6" s="56">
        <f t="shared" ref="D6:I6" si="0">D7+D29+D30+D31</f>
        <v>642</v>
      </c>
      <c r="E6" s="51">
        <f t="shared" si="0"/>
        <v>646082049</v>
      </c>
      <c r="F6" s="51">
        <f t="shared" si="0"/>
        <v>520</v>
      </c>
      <c r="G6" s="51">
        <f t="shared" si="0"/>
        <v>525596764</v>
      </c>
      <c r="H6" s="51">
        <f t="shared" si="0"/>
        <v>122</v>
      </c>
      <c r="I6" s="57">
        <f t="shared" si="0"/>
        <v>120485285</v>
      </c>
      <c r="J6" s="63">
        <f t="shared" ref="J6:O6" si="1">J7+J29+J30+J31</f>
        <v>600</v>
      </c>
      <c r="K6" s="12">
        <f t="shared" si="1"/>
        <v>651422148</v>
      </c>
      <c r="L6" s="12">
        <f t="shared" si="1"/>
        <v>496</v>
      </c>
      <c r="M6" s="12">
        <f t="shared" si="1"/>
        <v>549173963</v>
      </c>
      <c r="N6" s="12">
        <f t="shared" si="1"/>
        <v>104</v>
      </c>
      <c r="O6" s="13">
        <f t="shared" si="1"/>
        <v>102248185</v>
      </c>
      <c r="P6" s="56">
        <f t="shared" ref="P6:U6" si="2">P7+P29+P30+P31</f>
        <v>671</v>
      </c>
      <c r="Q6" s="51">
        <f t="shared" si="2"/>
        <v>800633444</v>
      </c>
      <c r="R6" s="51">
        <f t="shared" si="2"/>
        <v>550</v>
      </c>
      <c r="S6" s="51">
        <f t="shared" si="2"/>
        <v>662873744</v>
      </c>
      <c r="T6" s="51">
        <f t="shared" si="2"/>
        <v>121</v>
      </c>
      <c r="U6" s="57">
        <f t="shared" si="2"/>
        <v>137759700</v>
      </c>
      <c r="V6" s="63">
        <f t="shared" ref="V6:AA6" si="3">V7+V29+V30+V31</f>
        <v>703</v>
      </c>
      <c r="W6" s="12">
        <f t="shared" si="3"/>
        <v>858446351</v>
      </c>
      <c r="X6" s="12">
        <f t="shared" si="3"/>
        <v>591</v>
      </c>
      <c r="Y6" s="12">
        <f t="shared" si="3"/>
        <v>743525861</v>
      </c>
      <c r="Z6" s="12">
        <f t="shared" si="3"/>
        <v>112</v>
      </c>
      <c r="AA6" s="13">
        <f t="shared" si="3"/>
        <v>114920490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2.9" customHeight="1">
      <c r="A7" s="102"/>
      <c r="B7" s="163"/>
      <c r="C7" s="45" t="s">
        <v>29</v>
      </c>
      <c r="D7" s="56">
        <f t="shared" ref="D7:I7" si="4">SUM(D8:D28)</f>
        <v>495</v>
      </c>
      <c r="E7" s="51">
        <f t="shared" si="4"/>
        <v>484131059</v>
      </c>
      <c r="F7" s="51">
        <f t="shared" si="4"/>
        <v>399</v>
      </c>
      <c r="G7" s="51">
        <f t="shared" si="4"/>
        <v>390334274</v>
      </c>
      <c r="H7" s="51">
        <f t="shared" si="4"/>
        <v>96</v>
      </c>
      <c r="I7" s="57">
        <f t="shared" si="4"/>
        <v>93796785</v>
      </c>
      <c r="J7" s="63">
        <f t="shared" ref="J7:O7" si="5">SUM(J8:J28)</f>
        <v>454</v>
      </c>
      <c r="K7" s="12">
        <f t="shared" si="5"/>
        <v>489287660</v>
      </c>
      <c r="L7" s="12">
        <f t="shared" si="5"/>
        <v>378</v>
      </c>
      <c r="M7" s="12">
        <f t="shared" si="5"/>
        <v>419378010</v>
      </c>
      <c r="N7" s="12">
        <f t="shared" si="5"/>
        <v>76</v>
      </c>
      <c r="O7" s="13">
        <f t="shared" si="5"/>
        <v>69909650</v>
      </c>
      <c r="P7" s="56">
        <f t="shared" ref="P7:U7" si="6">SUM(P8:P28)</f>
        <v>522</v>
      </c>
      <c r="Q7" s="51">
        <f t="shared" si="6"/>
        <v>609679429</v>
      </c>
      <c r="R7" s="51">
        <f t="shared" si="6"/>
        <v>435</v>
      </c>
      <c r="S7" s="51">
        <f t="shared" si="6"/>
        <v>515566579</v>
      </c>
      <c r="T7" s="51">
        <f t="shared" si="6"/>
        <v>87</v>
      </c>
      <c r="U7" s="57">
        <f t="shared" si="6"/>
        <v>94112850</v>
      </c>
      <c r="V7" s="63">
        <f t="shared" ref="V7:AA7" si="7">SUM(V8:V28)</f>
        <v>536</v>
      </c>
      <c r="W7" s="12">
        <f t="shared" si="7"/>
        <v>637802371</v>
      </c>
      <c r="X7" s="12">
        <f t="shared" si="7"/>
        <v>449</v>
      </c>
      <c r="Y7" s="12">
        <f t="shared" si="7"/>
        <v>550687216</v>
      </c>
      <c r="Z7" s="12">
        <f t="shared" si="7"/>
        <v>87</v>
      </c>
      <c r="AA7" s="13">
        <f t="shared" si="7"/>
        <v>87115155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22.9" customHeight="1">
      <c r="A8" s="102"/>
      <c r="B8" s="163"/>
      <c r="C8" s="46" t="s">
        <v>2</v>
      </c>
      <c r="D8" s="58">
        <f>F8+H8</f>
        <v>75</v>
      </c>
      <c r="E8" s="52">
        <f>G8+I8</f>
        <v>80553100</v>
      </c>
      <c r="F8" s="52">
        <v>61</v>
      </c>
      <c r="G8" s="52">
        <v>67993850</v>
      </c>
      <c r="H8" s="52">
        <v>14</v>
      </c>
      <c r="I8" s="59">
        <v>12559250</v>
      </c>
      <c r="J8" s="64">
        <f>L8+N8</f>
        <v>68</v>
      </c>
      <c r="K8" s="14">
        <f>M8+O8</f>
        <v>83485110</v>
      </c>
      <c r="L8" s="14">
        <v>56</v>
      </c>
      <c r="M8" s="14">
        <v>71712810</v>
      </c>
      <c r="N8" s="14">
        <v>12</v>
      </c>
      <c r="O8" s="15">
        <v>11772300</v>
      </c>
      <c r="P8" s="58">
        <f>R8+T8</f>
        <v>73</v>
      </c>
      <c r="Q8" s="52">
        <f>S8+U8</f>
        <v>87438900</v>
      </c>
      <c r="R8" s="52">
        <v>65</v>
      </c>
      <c r="S8" s="52">
        <v>78675900</v>
      </c>
      <c r="T8" s="52">
        <v>8</v>
      </c>
      <c r="U8" s="59">
        <v>8763000</v>
      </c>
      <c r="V8" s="64">
        <f>X8+Z8</f>
        <v>101</v>
      </c>
      <c r="W8" s="14">
        <f>Y8+AA8</f>
        <v>128560185</v>
      </c>
      <c r="X8" s="14">
        <v>93</v>
      </c>
      <c r="Y8" s="14">
        <v>119174685</v>
      </c>
      <c r="Z8" s="14">
        <v>8</v>
      </c>
      <c r="AA8" s="15">
        <v>9385500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ht="22.9" customHeight="1">
      <c r="A9" s="102"/>
      <c r="B9" s="163"/>
      <c r="C9" s="46" t="s">
        <v>3</v>
      </c>
      <c r="D9" s="58">
        <f t="shared" ref="D9:D30" si="8">F9+H9</f>
        <v>24</v>
      </c>
      <c r="E9" s="52">
        <f t="shared" ref="E9:E28" si="9">G9+I9</f>
        <v>21407901</v>
      </c>
      <c r="F9" s="52">
        <v>20</v>
      </c>
      <c r="G9" s="52">
        <v>18316401</v>
      </c>
      <c r="H9" s="52">
        <v>4</v>
      </c>
      <c r="I9" s="59">
        <v>3091500</v>
      </c>
      <c r="J9" s="64">
        <f t="shared" ref="J9:J30" si="10">L9+N9</f>
        <v>17</v>
      </c>
      <c r="K9" s="14">
        <f t="shared" ref="K9:K28" si="11">M9+O9</f>
        <v>14837765</v>
      </c>
      <c r="L9" s="14">
        <v>14</v>
      </c>
      <c r="M9" s="14">
        <f>12494370+493395</f>
        <v>12987765</v>
      </c>
      <c r="N9" s="14">
        <v>3</v>
      </c>
      <c r="O9" s="15">
        <v>1850000</v>
      </c>
      <c r="P9" s="58">
        <f t="shared" ref="P9:P30" si="12">R9+T9</f>
        <v>28</v>
      </c>
      <c r="Q9" s="52">
        <f t="shared" ref="Q9:Q28" si="13">S9+U9</f>
        <v>31603685</v>
      </c>
      <c r="R9" s="52">
        <v>23</v>
      </c>
      <c r="S9" s="52">
        <v>26931335</v>
      </c>
      <c r="T9" s="52">
        <v>5</v>
      </c>
      <c r="U9" s="59">
        <v>4672350</v>
      </c>
      <c r="V9" s="64">
        <f t="shared" ref="V9:V30" si="14">X9+Z9</f>
        <v>27</v>
      </c>
      <c r="W9" s="14">
        <f t="shared" ref="W9:W28" si="15">Y9+AA9</f>
        <v>37758915</v>
      </c>
      <c r="X9" s="14">
        <v>26</v>
      </c>
      <c r="Y9" s="14">
        <v>37125315</v>
      </c>
      <c r="Z9" s="14">
        <v>1</v>
      </c>
      <c r="AA9" s="15">
        <v>633600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22.9" customHeight="1">
      <c r="A10" s="102"/>
      <c r="B10" s="163"/>
      <c r="C10" s="46" t="s">
        <v>4</v>
      </c>
      <c r="D10" s="58">
        <f t="shared" si="8"/>
        <v>50</v>
      </c>
      <c r="E10" s="52">
        <f t="shared" si="9"/>
        <v>57137165</v>
      </c>
      <c r="F10" s="52">
        <v>35</v>
      </c>
      <c r="G10" s="52">
        <v>39123065</v>
      </c>
      <c r="H10" s="52">
        <v>15</v>
      </c>
      <c r="I10" s="59">
        <v>18014100</v>
      </c>
      <c r="J10" s="64">
        <f t="shared" si="10"/>
        <v>45</v>
      </c>
      <c r="K10" s="14">
        <f t="shared" si="11"/>
        <v>51132515</v>
      </c>
      <c r="L10" s="14">
        <v>38</v>
      </c>
      <c r="M10" s="14">
        <v>44913215</v>
      </c>
      <c r="N10" s="14">
        <v>7</v>
      </c>
      <c r="O10" s="15">
        <v>6219300</v>
      </c>
      <c r="P10" s="58">
        <f t="shared" si="12"/>
        <v>58</v>
      </c>
      <c r="Q10" s="52">
        <f t="shared" si="13"/>
        <v>62820385</v>
      </c>
      <c r="R10" s="52">
        <v>44</v>
      </c>
      <c r="S10" s="52">
        <v>48816700</v>
      </c>
      <c r="T10" s="52">
        <v>14</v>
      </c>
      <c r="U10" s="59">
        <v>14003685</v>
      </c>
      <c r="V10" s="64">
        <f t="shared" si="14"/>
        <v>56</v>
      </c>
      <c r="W10" s="14">
        <f t="shared" si="15"/>
        <v>66397250</v>
      </c>
      <c r="X10" s="14">
        <v>44</v>
      </c>
      <c r="Y10" s="14">
        <v>54672350</v>
      </c>
      <c r="Z10" s="14">
        <v>12</v>
      </c>
      <c r="AA10" s="15">
        <v>11724900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22.9" customHeight="1">
      <c r="A11" s="102"/>
      <c r="B11" s="163"/>
      <c r="C11" s="46" t="s">
        <v>5</v>
      </c>
      <c r="D11" s="58">
        <f t="shared" si="8"/>
        <v>9</v>
      </c>
      <c r="E11" s="52">
        <f t="shared" si="9"/>
        <v>7652175</v>
      </c>
      <c r="F11" s="52">
        <v>6</v>
      </c>
      <c r="G11" s="52">
        <v>4542725</v>
      </c>
      <c r="H11" s="52">
        <v>3</v>
      </c>
      <c r="I11" s="59">
        <v>3109450</v>
      </c>
      <c r="J11" s="64">
        <f t="shared" si="10"/>
        <v>13</v>
      </c>
      <c r="K11" s="14">
        <f t="shared" si="11"/>
        <v>12638500</v>
      </c>
      <c r="L11" s="14">
        <v>9</v>
      </c>
      <c r="M11" s="14">
        <v>8187400</v>
      </c>
      <c r="N11" s="14">
        <v>4</v>
      </c>
      <c r="O11" s="15">
        <v>4451100</v>
      </c>
      <c r="P11" s="58">
        <f t="shared" si="12"/>
        <v>11</v>
      </c>
      <c r="Q11" s="52">
        <f t="shared" si="13"/>
        <v>15066450</v>
      </c>
      <c r="R11" s="52">
        <v>7</v>
      </c>
      <c r="S11" s="52">
        <v>9882450</v>
      </c>
      <c r="T11" s="52">
        <v>4</v>
      </c>
      <c r="U11" s="59">
        <v>5184000</v>
      </c>
      <c r="V11" s="64">
        <f t="shared" si="14"/>
        <v>16</v>
      </c>
      <c r="W11" s="14">
        <f t="shared" si="15"/>
        <v>22118715</v>
      </c>
      <c r="X11" s="14">
        <v>13</v>
      </c>
      <c r="Y11" s="14">
        <v>18500715</v>
      </c>
      <c r="Z11" s="14">
        <v>3</v>
      </c>
      <c r="AA11" s="15">
        <v>3618000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2.9" customHeight="1">
      <c r="A12" s="102"/>
      <c r="B12" s="163"/>
      <c r="C12" s="46" t="s">
        <v>6</v>
      </c>
      <c r="D12" s="58">
        <f t="shared" si="8"/>
        <v>16</v>
      </c>
      <c r="E12" s="52">
        <f t="shared" si="9"/>
        <v>16871800</v>
      </c>
      <c r="F12" s="52">
        <v>14</v>
      </c>
      <c r="G12" s="52">
        <v>14873800</v>
      </c>
      <c r="H12" s="52">
        <v>2</v>
      </c>
      <c r="I12" s="59">
        <v>1998000</v>
      </c>
      <c r="J12" s="64">
        <f t="shared" si="10"/>
        <v>15</v>
      </c>
      <c r="K12" s="14">
        <f t="shared" si="11"/>
        <v>14919900</v>
      </c>
      <c r="L12" s="14">
        <v>12</v>
      </c>
      <c r="M12" s="14">
        <v>12711300</v>
      </c>
      <c r="N12" s="14">
        <v>3</v>
      </c>
      <c r="O12" s="15">
        <v>2208600</v>
      </c>
      <c r="P12" s="58">
        <f t="shared" si="12"/>
        <v>12</v>
      </c>
      <c r="Q12" s="52">
        <f t="shared" si="13"/>
        <v>15186600</v>
      </c>
      <c r="R12" s="52">
        <v>10</v>
      </c>
      <c r="S12" s="52">
        <v>13643100</v>
      </c>
      <c r="T12" s="52">
        <v>2</v>
      </c>
      <c r="U12" s="59">
        <v>1543500</v>
      </c>
      <c r="V12" s="64">
        <f t="shared" si="14"/>
        <v>15</v>
      </c>
      <c r="W12" s="14">
        <f t="shared" si="15"/>
        <v>18597385</v>
      </c>
      <c r="X12" s="14">
        <v>14</v>
      </c>
      <c r="Y12" s="14">
        <v>17780635</v>
      </c>
      <c r="Z12" s="14">
        <v>1</v>
      </c>
      <c r="AA12" s="15">
        <v>816750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2.9" customHeight="1">
      <c r="A13" s="102"/>
      <c r="B13" s="163"/>
      <c r="C13" s="46" t="s">
        <v>7</v>
      </c>
      <c r="D13" s="58">
        <f t="shared" si="8"/>
        <v>32</v>
      </c>
      <c r="E13" s="52">
        <f t="shared" si="9"/>
        <v>30311150</v>
      </c>
      <c r="F13" s="52">
        <v>28</v>
      </c>
      <c r="G13" s="52">
        <v>26976350</v>
      </c>
      <c r="H13" s="52">
        <v>4</v>
      </c>
      <c r="I13" s="59">
        <v>3334800</v>
      </c>
      <c r="J13" s="64">
        <f t="shared" si="10"/>
        <v>51</v>
      </c>
      <c r="K13" s="14">
        <f t="shared" si="11"/>
        <v>50599465</v>
      </c>
      <c r="L13" s="14">
        <v>41</v>
      </c>
      <c r="M13" s="14">
        <v>41244265</v>
      </c>
      <c r="N13" s="14">
        <v>10</v>
      </c>
      <c r="O13" s="15">
        <v>9355200</v>
      </c>
      <c r="P13" s="58">
        <f t="shared" si="12"/>
        <v>38</v>
      </c>
      <c r="Q13" s="52">
        <f t="shared" si="13"/>
        <v>48359700</v>
      </c>
      <c r="R13" s="52">
        <v>33</v>
      </c>
      <c r="S13" s="52">
        <v>43323750</v>
      </c>
      <c r="T13" s="52">
        <v>5</v>
      </c>
      <c r="U13" s="59">
        <v>5035950</v>
      </c>
      <c r="V13" s="64">
        <f t="shared" si="14"/>
        <v>32</v>
      </c>
      <c r="W13" s="14">
        <f t="shared" si="15"/>
        <v>37522035</v>
      </c>
      <c r="X13" s="14">
        <v>22</v>
      </c>
      <c r="Y13" s="14">
        <v>24795000</v>
      </c>
      <c r="Z13" s="14">
        <v>10</v>
      </c>
      <c r="AA13" s="15">
        <v>12727035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2.9" customHeight="1">
      <c r="A14" s="102"/>
      <c r="B14" s="163"/>
      <c r="C14" s="46" t="s">
        <v>8</v>
      </c>
      <c r="D14" s="58">
        <f t="shared" si="8"/>
        <v>34</v>
      </c>
      <c r="E14" s="52">
        <f t="shared" si="9"/>
        <v>29962045</v>
      </c>
      <c r="F14" s="52">
        <v>28</v>
      </c>
      <c r="G14" s="52">
        <v>24374460</v>
      </c>
      <c r="H14" s="52">
        <v>6</v>
      </c>
      <c r="I14" s="59">
        <v>5587585</v>
      </c>
      <c r="J14" s="64">
        <f t="shared" si="10"/>
        <v>28</v>
      </c>
      <c r="K14" s="14">
        <f t="shared" si="11"/>
        <v>26934910</v>
      </c>
      <c r="L14" s="14">
        <v>24</v>
      </c>
      <c r="M14" s="14">
        <v>22545310</v>
      </c>
      <c r="N14" s="14">
        <v>4</v>
      </c>
      <c r="O14" s="15">
        <v>4389600</v>
      </c>
      <c r="P14" s="58">
        <f t="shared" si="12"/>
        <v>32</v>
      </c>
      <c r="Q14" s="52">
        <f t="shared" si="13"/>
        <v>35658930</v>
      </c>
      <c r="R14" s="52">
        <v>25</v>
      </c>
      <c r="S14" s="52">
        <v>27634215</v>
      </c>
      <c r="T14" s="52">
        <v>7</v>
      </c>
      <c r="U14" s="59">
        <v>8024715</v>
      </c>
      <c r="V14" s="64">
        <f t="shared" si="14"/>
        <v>34</v>
      </c>
      <c r="W14" s="14">
        <f t="shared" si="15"/>
        <v>36144950</v>
      </c>
      <c r="X14" s="14">
        <v>26</v>
      </c>
      <c r="Y14" s="14">
        <v>28320800</v>
      </c>
      <c r="Z14" s="14">
        <v>8</v>
      </c>
      <c r="AA14" s="15">
        <v>7824150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2.9" customHeight="1">
      <c r="A15" s="102"/>
      <c r="B15" s="163"/>
      <c r="C15" s="46" t="s">
        <v>9</v>
      </c>
      <c r="D15" s="58">
        <f t="shared" si="8"/>
        <v>13</v>
      </c>
      <c r="E15" s="52">
        <f t="shared" si="9"/>
        <v>12242200</v>
      </c>
      <c r="F15" s="52">
        <v>12</v>
      </c>
      <c r="G15" s="52">
        <v>11378200</v>
      </c>
      <c r="H15" s="52">
        <v>1</v>
      </c>
      <c r="I15" s="59">
        <v>864000</v>
      </c>
      <c r="J15" s="64">
        <f t="shared" si="10"/>
        <v>12</v>
      </c>
      <c r="K15" s="14">
        <f t="shared" si="11"/>
        <v>13582500</v>
      </c>
      <c r="L15" s="14">
        <v>10</v>
      </c>
      <c r="M15" s="14">
        <v>11449500</v>
      </c>
      <c r="N15" s="14">
        <v>2</v>
      </c>
      <c r="O15" s="15">
        <v>2133000</v>
      </c>
      <c r="P15" s="58">
        <f t="shared" si="12"/>
        <v>20</v>
      </c>
      <c r="Q15" s="52">
        <f t="shared" si="13"/>
        <v>24258915</v>
      </c>
      <c r="R15" s="52">
        <v>17</v>
      </c>
      <c r="S15" s="52">
        <v>20526300</v>
      </c>
      <c r="T15" s="52">
        <v>3</v>
      </c>
      <c r="U15" s="59">
        <v>3732615</v>
      </c>
      <c r="V15" s="64">
        <f t="shared" si="14"/>
        <v>7</v>
      </c>
      <c r="W15" s="14">
        <f t="shared" si="15"/>
        <v>5661900</v>
      </c>
      <c r="X15" s="14">
        <v>3</v>
      </c>
      <c r="Y15" s="14">
        <v>2403000</v>
      </c>
      <c r="Z15" s="14">
        <v>4</v>
      </c>
      <c r="AA15" s="15">
        <v>3258900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2.9" customHeight="1">
      <c r="A16" s="102"/>
      <c r="B16" s="163"/>
      <c r="C16" s="46" t="s">
        <v>10</v>
      </c>
      <c r="D16" s="58">
        <f t="shared" si="8"/>
        <v>21</v>
      </c>
      <c r="E16" s="52">
        <f t="shared" si="9"/>
        <v>14554366</v>
      </c>
      <c r="F16" s="52">
        <v>17</v>
      </c>
      <c r="G16" s="52">
        <v>11865166</v>
      </c>
      <c r="H16" s="52">
        <v>4</v>
      </c>
      <c r="I16" s="59">
        <v>2689200</v>
      </c>
      <c r="J16" s="64">
        <f t="shared" si="10"/>
        <v>22</v>
      </c>
      <c r="K16" s="14">
        <f t="shared" si="11"/>
        <v>26408400</v>
      </c>
      <c r="L16" s="14">
        <v>18</v>
      </c>
      <c r="M16" s="14">
        <v>22585200</v>
      </c>
      <c r="N16" s="14">
        <v>4</v>
      </c>
      <c r="O16" s="15">
        <v>3823200</v>
      </c>
      <c r="P16" s="58">
        <f t="shared" si="12"/>
        <v>18</v>
      </c>
      <c r="Q16" s="52">
        <f t="shared" si="13"/>
        <v>20758350</v>
      </c>
      <c r="R16" s="52">
        <v>14</v>
      </c>
      <c r="S16" s="52">
        <v>16058550</v>
      </c>
      <c r="T16" s="52">
        <v>4</v>
      </c>
      <c r="U16" s="59">
        <v>4699800</v>
      </c>
      <c r="V16" s="64">
        <f t="shared" si="14"/>
        <v>24</v>
      </c>
      <c r="W16" s="14">
        <f t="shared" si="15"/>
        <v>24856215</v>
      </c>
      <c r="X16" s="14">
        <v>18</v>
      </c>
      <c r="Y16" s="14">
        <v>20260515</v>
      </c>
      <c r="Z16" s="14">
        <v>6</v>
      </c>
      <c r="AA16" s="15">
        <v>4595700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2.9" customHeight="1">
      <c r="A17" s="102"/>
      <c r="B17" s="163"/>
      <c r="C17" s="46" t="s">
        <v>11</v>
      </c>
      <c r="D17" s="58">
        <f t="shared" si="8"/>
        <v>15</v>
      </c>
      <c r="E17" s="52">
        <f t="shared" si="9"/>
        <v>15806100</v>
      </c>
      <c r="F17" s="52">
        <v>12</v>
      </c>
      <c r="G17" s="52">
        <v>12171600</v>
      </c>
      <c r="H17" s="52">
        <v>3</v>
      </c>
      <c r="I17" s="59">
        <v>3634500</v>
      </c>
      <c r="J17" s="64">
        <f t="shared" si="10"/>
        <v>11</v>
      </c>
      <c r="K17" s="14">
        <f t="shared" si="11"/>
        <v>9304776</v>
      </c>
      <c r="L17" s="14">
        <v>8</v>
      </c>
      <c r="M17" s="14">
        <f>7544700+72576</f>
        <v>7617276</v>
      </c>
      <c r="N17" s="14">
        <v>3</v>
      </c>
      <c r="O17" s="15">
        <v>1687500</v>
      </c>
      <c r="P17" s="58">
        <f t="shared" si="12"/>
        <v>14</v>
      </c>
      <c r="Q17" s="52">
        <f t="shared" si="13"/>
        <v>14295528</v>
      </c>
      <c r="R17" s="52">
        <v>11</v>
      </c>
      <c r="S17" s="52">
        <v>10764828</v>
      </c>
      <c r="T17" s="52">
        <v>3</v>
      </c>
      <c r="U17" s="59">
        <v>3530700</v>
      </c>
      <c r="V17" s="64">
        <f t="shared" si="14"/>
        <v>13</v>
      </c>
      <c r="W17" s="14">
        <f t="shared" si="15"/>
        <v>14729535</v>
      </c>
      <c r="X17" s="14">
        <v>11</v>
      </c>
      <c r="Y17" s="14">
        <v>13321035</v>
      </c>
      <c r="Z17" s="14">
        <v>2</v>
      </c>
      <c r="AA17" s="15">
        <v>1408500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2.9" customHeight="1">
      <c r="A18" s="102"/>
      <c r="B18" s="163"/>
      <c r="C18" s="46" t="s">
        <v>12</v>
      </c>
      <c r="D18" s="58">
        <f t="shared" si="8"/>
        <v>30</v>
      </c>
      <c r="E18" s="52">
        <f t="shared" si="9"/>
        <v>32671330</v>
      </c>
      <c r="F18" s="52">
        <v>24</v>
      </c>
      <c r="G18" s="52">
        <v>26794780</v>
      </c>
      <c r="H18" s="52">
        <v>6</v>
      </c>
      <c r="I18" s="59">
        <v>5876550</v>
      </c>
      <c r="J18" s="64">
        <f t="shared" si="10"/>
        <v>30</v>
      </c>
      <c r="K18" s="14">
        <f t="shared" si="11"/>
        <v>33301875</v>
      </c>
      <c r="L18" s="14">
        <f>24+1</f>
        <v>25</v>
      </c>
      <c r="M18" s="14">
        <f>27638415+139860</f>
        <v>27778275</v>
      </c>
      <c r="N18" s="14">
        <v>5</v>
      </c>
      <c r="O18" s="15">
        <v>5523600</v>
      </c>
      <c r="P18" s="58">
        <f t="shared" si="12"/>
        <v>37</v>
      </c>
      <c r="Q18" s="52">
        <f t="shared" si="13"/>
        <v>36028635</v>
      </c>
      <c r="R18" s="52">
        <v>26</v>
      </c>
      <c r="S18" s="52">
        <v>24848250</v>
      </c>
      <c r="T18" s="52">
        <v>11</v>
      </c>
      <c r="U18" s="59">
        <v>11180385</v>
      </c>
      <c r="V18" s="64">
        <f t="shared" si="14"/>
        <v>27</v>
      </c>
      <c r="W18" s="14">
        <f t="shared" si="15"/>
        <v>33960035</v>
      </c>
      <c r="X18" s="14">
        <v>21</v>
      </c>
      <c r="Y18" s="14">
        <v>28525865</v>
      </c>
      <c r="Z18" s="14">
        <v>6</v>
      </c>
      <c r="AA18" s="15">
        <v>5434170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2.9" customHeight="1">
      <c r="A19" s="102"/>
      <c r="B19" s="163"/>
      <c r="C19" s="46" t="s">
        <v>13</v>
      </c>
      <c r="D19" s="58">
        <f t="shared" si="8"/>
        <v>46</v>
      </c>
      <c r="E19" s="52">
        <f t="shared" si="9"/>
        <v>41099350</v>
      </c>
      <c r="F19" s="52">
        <v>39</v>
      </c>
      <c r="G19" s="52">
        <v>34430650</v>
      </c>
      <c r="H19" s="52">
        <v>7</v>
      </c>
      <c r="I19" s="59">
        <v>6668700</v>
      </c>
      <c r="J19" s="64">
        <f t="shared" si="10"/>
        <v>33</v>
      </c>
      <c r="K19" s="14">
        <f t="shared" si="11"/>
        <v>32169050</v>
      </c>
      <c r="L19" s="14">
        <v>29</v>
      </c>
      <c r="M19" s="14">
        <f>29155850+138600</f>
        <v>29294450</v>
      </c>
      <c r="N19" s="14">
        <v>4</v>
      </c>
      <c r="O19" s="15">
        <v>2874600</v>
      </c>
      <c r="P19" s="58">
        <f t="shared" si="12"/>
        <v>41</v>
      </c>
      <c r="Q19" s="52">
        <f t="shared" si="13"/>
        <v>48918350</v>
      </c>
      <c r="R19" s="52">
        <v>37</v>
      </c>
      <c r="S19" s="52">
        <v>44610050</v>
      </c>
      <c r="T19" s="52">
        <v>4</v>
      </c>
      <c r="U19" s="59">
        <v>4308300</v>
      </c>
      <c r="V19" s="64">
        <f t="shared" si="14"/>
        <v>32</v>
      </c>
      <c r="W19" s="14">
        <f t="shared" si="15"/>
        <v>34604250</v>
      </c>
      <c r="X19" s="14">
        <v>27</v>
      </c>
      <c r="Y19" s="14">
        <v>30322050</v>
      </c>
      <c r="Z19" s="14">
        <v>5</v>
      </c>
      <c r="AA19" s="15">
        <v>4282200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2.9" customHeight="1">
      <c r="A20" s="102"/>
      <c r="B20" s="163"/>
      <c r="C20" s="46" t="s">
        <v>14</v>
      </c>
      <c r="D20" s="58">
        <f t="shared" si="8"/>
        <v>23</v>
      </c>
      <c r="E20" s="52">
        <f t="shared" si="9"/>
        <v>19475545</v>
      </c>
      <c r="F20" s="52">
        <v>20</v>
      </c>
      <c r="G20" s="52">
        <v>18479795</v>
      </c>
      <c r="H20" s="52">
        <v>3</v>
      </c>
      <c r="I20" s="59">
        <v>995750</v>
      </c>
      <c r="J20" s="64">
        <f t="shared" si="10"/>
        <v>12</v>
      </c>
      <c r="K20" s="14">
        <f t="shared" si="11"/>
        <v>14786175</v>
      </c>
      <c r="L20" s="14">
        <f>10+2</f>
        <v>12</v>
      </c>
      <c r="M20" s="14">
        <f>10784100+4002075</f>
        <v>14786175</v>
      </c>
      <c r="N20" s="14">
        <v>0</v>
      </c>
      <c r="O20" s="15">
        <v>0</v>
      </c>
      <c r="P20" s="58">
        <f t="shared" si="12"/>
        <v>23</v>
      </c>
      <c r="Q20" s="52">
        <f t="shared" si="13"/>
        <v>26492790</v>
      </c>
      <c r="R20" s="52">
        <v>21</v>
      </c>
      <c r="S20" s="52">
        <v>24428790</v>
      </c>
      <c r="T20" s="52">
        <v>2</v>
      </c>
      <c r="U20" s="59">
        <v>2064000</v>
      </c>
      <c r="V20" s="64">
        <f t="shared" si="14"/>
        <v>25</v>
      </c>
      <c r="W20" s="14">
        <f t="shared" si="15"/>
        <v>22684635</v>
      </c>
      <c r="X20" s="14">
        <v>21</v>
      </c>
      <c r="Y20" s="14">
        <v>19380735</v>
      </c>
      <c r="Z20" s="14">
        <v>4</v>
      </c>
      <c r="AA20" s="15">
        <v>3303900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2.9" customHeight="1">
      <c r="A21" s="102"/>
      <c r="B21" s="163"/>
      <c r="C21" s="46" t="s">
        <v>15</v>
      </c>
      <c r="D21" s="58">
        <f t="shared" si="8"/>
        <v>7</v>
      </c>
      <c r="E21" s="52">
        <f t="shared" si="9"/>
        <v>7800270</v>
      </c>
      <c r="F21" s="52">
        <v>6</v>
      </c>
      <c r="G21" s="52">
        <v>6835020</v>
      </c>
      <c r="H21" s="52">
        <v>1</v>
      </c>
      <c r="I21" s="59">
        <v>965250</v>
      </c>
      <c r="J21" s="64">
        <f t="shared" si="10"/>
        <v>6</v>
      </c>
      <c r="K21" s="14">
        <f t="shared" si="11"/>
        <v>4339320</v>
      </c>
      <c r="L21" s="14">
        <v>5</v>
      </c>
      <c r="M21" s="14">
        <f>3321600+304920</f>
        <v>3626520</v>
      </c>
      <c r="N21" s="14">
        <v>1</v>
      </c>
      <c r="O21" s="15">
        <v>712800</v>
      </c>
      <c r="P21" s="58">
        <f t="shared" si="12"/>
        <v>8</v>
      </c>
      <c r="Q21" s="52">
        <f t="shared" si="13"/>
        <v>8232120</v>
      </c>
      <c r="R21" s="52">
        <v>6</v>
      </c>
      <c r="S21" s="52">
        <v>6509520</v>
      </c>
      <c r="T21" s="52">
        <v>2</v>
      </c>
      <c r="U21" s="59">
        <v>1722600</v>
      </c>
      <c r="V21" s="64">
        <f t="shared" si="14"/>
        <v>7</v>
      </c>
      <c r="W21" s="14">
        <f t="shared" si="15"/>
        <v>7737960</v>
      </c>
      <c r="X21" s="14">
        <v>6</v>
      </c>
      <c r="Y21" s="14">
        <v>6306960</v>
      </c>
      <c r="Z21" s="14">
        <v>1</v>
      </c>
      <c r="AA21" s="15">
        <v>1431000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2.9" customHeight="1">
      <c r="A22" s="102"/>
      <c r="B22" s="163"/>
      <c r="C22" s="46" t="s">
        <v>16</v>
      </c>
      <c r="D22" s="58">
        <f t="shared" si="8"/>
        <v>10</v>
      </c>
      <c r="E22" s="52">
        <f t="shared" si="9"/>
        <v>8555650</v>
      </c>
      <c r="F22" s="52">
        <v>8</v>
      </c>
      <c r="G22" s="52">
        <v>6166150</v>
      </c>
      <c r="H22" s="52">
        <v>2</v>
      </c>
      <c r="I22" s="59">
        <v>2389500</v>
      </c>
      <c r="J22" s="64">
        <f t="shared" si="10"/>
        <v>10</v>
      </c>
      <c r="K22" s="14">
        <f t="shared" si="11"/>
        <v>9701865</v>
      </c>
      <c r="L22" s="14">
        <f>7+1</f>
        <v>8</v>
      </c>
      <c r="M22" s="14">
        <f>7918665+151200</f>
        <v>8069865</v>
      </c>
      <c r="N22" s="14">
        <v>2</v>
      </c>
      <c r="O22" s="15">
        <v>1632000</v>
      </c>
      <c r="P22" s="58">
        <f t="shared" si="12"/>
        <v>18</v>
      </c>
      <c r="Q22" s="52">
        <f t="shared" si="13"/>
        <v>24350616</v>
      </c>
      <c r="R22" s="52">
        <v>17</v>
      </c>
      <c r="S22" s="52">
        <v>23405616</v>
      </c>
      <c r="T22" s="52">
        <v>1</v>
      </c>
      <c r="U22" s="59">
        <v>945000</v>
      </c>
      <c r="V22" s="64">
        <f t="shared" si="14"/>
        <v>14</v>
      </c>
      <c r="W22" s="14">
        <f t="shared" si="15"/>
        <v>19543443</v>
      </c>
      <c r="X22" s="14">
        <v>13</v>
      </c>
      <c r="Y22" s="14">
        <v>18508443</v>
      </c>
      <c r="Z22" s="14">
        <v>1</v>
      </c>
      <c r="AA22" s="15">
        <v>1035000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2.9" customHeight="1">
      <c r="A23" s="102"/>
      <c r="B23" s="163"/>
      <c r="C23" s="46" t="s">
        <v>17</v>
      </c>
      <c r="D23" s="58">
        <f t="shared" si="8"/>
        <v>7</v>
      </c>
      <c r="E23" s="52">
        <f t="shared" si="9"/>
        <v>6138552</v>
      </c>
      <c r="F23" s="52">
        <v>6</v>
      </c>
      <c r="G23" s="52">
        <v>5294802</v>
      </c>
      <c r="H23" s="52">
        <v>1</v>
      </c>
      <c r="I23" s="59">
        <v>843750</v>
      </c>
      <c r="J23" s="64">
        <f t="shared" si="10"/>
        <v>5</v>
      </c>
      <c r="K23" s="14">
        <f t="shared" si="11"/>
        <v>3087054</v>
      </c>
      <c r="L23" s="14">
        <f>3+2</f>
        <v>5</v>
      </c>
      <c r="M23" s="14">
        <f>1917900+1169154</f>
        <v>3087054</v>
      </c>
      <c r="N23" s="14">
        <v>0</v>
      </c>
      <c r="O23" s="15">
        <v>0</v>
      </c>
      <c r="P23" s="58">
        <f t="shared" si="12"/>
        <v>9</v>
      </c>
      <c r="Q23" s="52">
        <f t="shared" si="13"/>
        <v>8760105</v>
      </c>
      <c r="R23" s="52">
        <v>8</v>
      </c>
      <c r="S23" s="52">
        <v>6784605</v>
      </c>
      <c r="T23" s="52">
        <v>1</v>
      </c>
      <c r="U23" s="59">
        <v>1975500</v>
      </c>
      <c r="V23" s="64">
        <f t="shared" si="14"/>
        <v>5</v>
      </c>
      <c r="W23" s="14">
        <f t="shared" si="15"/>
        <v>5098050</v>
      </c>
      <c r="X23" s="14">
        <v>4</v>
      </c>
      <c r="Y23" s="14">
        <v>3599550</v>
      </c>
      <c r="Z23" s="14">
        <v>1</v>
      </c>
      <c r="AA23" s="15">
        <v>1498500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2.9" customHeight="1">
      <c r="A24" s="102"/>
      <c r="B24" s="163"/>
      <c r="C24" s="46" t="s">
        <v>18</v>
      </c>
      <c r="D24" s="58">
        <f t="shared" si="8"/>
        <v>3</v>
      </c>
      <c r="E24" s="52">
        <f t="shared" si="9"/>
        <v>4015260</v>
      </c>
      <c r="F24" s="52">
        <v>2</v>
      </c>
      <c r="G24" s="52">
        <v>2584260</v>
      </c>
      <c r="H24" s="52">
        <v>1</v>
      </c>
      <c r="I24" s="59">
        <v>1431000</v>
      </c>
      <c r="J24" s="64">
        <f t="shared" si="10"/>
        <v>12</v>
      </c>
      <c r="K24" s="14">
        <f t="shared" si="11"/>
        <v>13096195</v>
      </c>
      <c r="L24" s="14">
        <v>12</v>
      </c>
      <c r="M24" s="14">
        <f>12727435+368760</f>
        <v>13096195</v>
      </c>
      <c r="N24" s="14">
        <v>0</v>
      </c>
      <c r="O24" s="15">
        <v>0</v>
      </c>
      <c r="P24" s="58">
        <f t="shared" si="12"/>
        <v>11</v>
      </c>
      <c r="Q24" s="52">
        <f t="shared" si="13"/>
        <v>16471185</v>
      </c>
      <c r="R24" s="52">
        <v>10</v>
      </c>
      <c r="S24" s="52">
        <v>15040185</v>
      </c>
      <c r="T24" s="52">
        <v>1</v>
      </c>
      <c r="U24" s="59">
        <v>1431000</v>
      </c>
      <c r="V24" s="64">
        <f t="shared" si="14"/>
        <v>23</v>
      </c>
      <c r="W24" s="14">
        <f t="shared" si="15"/>
        <v>29974920</v>
      </c>
      <c r="X24" s="14">
        <v>22</v>
      </c>
      <c r="Y24" s="14">
        <v>28543920</v>
      </c>
      <c r="Z24" s="14">
        <v>1</v>
      </c>
      <c r="AA24" s="15">
        <v>1431000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2.9" customHeight="1">
      <c r="A25" s="102"/>
      <c r="B25" s="163"/>
      <c r="C25" s="46" t="s">
        <v>19</v>
      </c>
      <c r="D25" s="58">
        <f t="shared" si="8"/>
        <v>13</v>
      </c>
      <c r="E25" s="52">
        <f t="shared" si="9"/>
        <v>13726850</v>
      </c>
      <c r="F25" s="52">
        <v>11</v>
      </c>
      <c r="G25" s="52">
        <v>12703350</v>
      </c>
      <c r="H25" s="52">
        <v>2</v>
      </c>
      <c r="I25" s="59">
        <v>1023500</v>
      </c>
      <c r="J25" s="64">
        <f t="shared" si="10"/>
        <v>19</v>
      </c>
      <c r="K25" s="14">
        <f t="shared" si="11"/>
        <v>25978785</v>
      </c>
      <c r="L25" s="14">
        <v>17</v>
      </c>
      <c r="M25" s="14">
        <v>23404785</v>
      </c>
      <c r="N25" s="14">
        <v>2</v>
      </c>
      <c r="O25" s="15">
        <v>2574000</v>
      </c>
      <c r="P25" s="58">
        <f t="shared" si="12"/>
        <v>10</v>
      </c>
      <c r="Q25" s="52">
        <f t="shared" si="13"/>
        <v>14248485</v>
      </c>
      <c r="R25" s="52">
        <v>9</v>
      </c>
      <c r="S25" s="52">
        <v>12952485</v>
      </c>
      <c r="T25" s="52">
        <v>1</v>
      </c>
      <c r="U25" s="59">
        <v>1296000</v>
      </c>
      <c r="V25" s="64">
        <f t="shared" si="14"/>
        <v>11</v>
      </c>
      <c r="W25" s="14">
        <f t="shared" si="15"/>
        <v>14644185</v>
      </c>
      <c r="X25" s="14">
        <v>7</v>
      </c>
      <c r="Y25" s="14">
        <v>11084985</v>
      </c>
      <c r="Z25" s="14">
        <v>4</v>
      </c>
      <c r="AA25" s="15">
        <v>3559200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2.9" customHeight="1">
      <c r="A26" s="102"/>
      <c r="B26" s="163"/>
      <c r="C26" s="46" t="s">
        <v>20</v>
      </c>
      <c r="D26" s="58">
        <f t="shared" si="8"/>
        <v>29</v>
      </c>
      <c r="E26" s="52">
        <f t="shared" si="9"/>
        <v>26147500</v>
      </c>
      <c r="F26" s="52">
        <v>21</v>
      </c>
      <c r="G26" s="52">
        <v>19840300</v>
      </c>
      <c r="H26" s="52">
        <v>8</v>
      </c>
      <c r="I26" s="59">
        <v>6307200</v>
      </c>
      <c r="J26" s="64">
        <f t="shared" si="10"/>
        <v>22</v>
      </c>
      <c r="K26" s="14">
        <f t="shared" si="11"/>
        <v>23422600</v>
      </c>
      <c r="L26" s="14">
        <v>16</v>
      </c>
      <c r="M26" s="14">
        <v>17067250</v>
      </c>
      <c r="N26" s="14">
        <v>6</v>
      </c>
      <c r="O26" s="15">
        <v>6355350</v>
      </c>
      <c r="P26" s="58">
        <f t="shared" si="12"/>
        <v>36</v>
      </c>
      <c r="Q26" s="52">
        <f t="shared" si="13"/>
        <v>43365050</v>
      </c>
      <c r="R26" s="52">
        <v>30</v>
      </c>
      <c r="S26" s="52">
        <v>35988200</v>
      </c>
      <c r="T26" s="52">
        <v>6</v>
      </c>
      <c r="U26" s="59">
        <v>7376850</v>
      </c>
      <c r="V26" s="64">
        <f t="shared" si="14"/>
        <v>30</v>
      </c>
      <c r="W26" s="14">
        <f t="shared" si="15"/>
        <v>30379608</v>
      </c>
      <c r="X26" s="14">
        <v>25</v>
      </c>
      <c r="Y26" s="14">
        <v>26308458</v>
      </c>
      <c r="Z26" s="14">
        <v>5</v>
      </c>
      <c r="AA26" s="15">
        <v>4071150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2.9" customHeight="1">
      <c r="A27" s="102"/>
      <c r="B27" s="163"/>
      <c r="C27" s="46" t="s">
        <v>21</v>
      </c>
      <c r="D27" s="58">
        <f t="shared" si="8"/>
        <v>13</v>
      </c>
      <c r="E27" s="52">
        <f t="shared" si="9"/>
        <v>12576000</v>
      </c>
      <c r="F27" s="52">
        <v>10</v>
      </c>
      <c r="G27" s="52">
        <v>10227600</v>
      </c>
      <c r="H27" s="52">
        <v>3</v>
      </c>
      <c r="I27" s="59">
        <v>2348400</v>
      </c>
      <c r="J27" s="64">
        <f t="shared" si="10"/>
        <v>9</v>
      </c>
      <c r="K27" s="14">
        <f t="shared" si="11"/>
        <v>12531000</v>
      </c>
      <c r="L27" s="14">
        <v>9</v>
      </c>
      <c r="M27" s="14">
        <v>12531000</v>
      </c>
      <c r="N27" s="14">
        <v>0</v>
      </c>
      <c r="O27" s="15">
        <v>0</v>
      </c>
      <c r="P27" s="58">
        <f t="shared" si="12"/>
        <v>8</v>
      </c>
      <c r="Q27" s="52">
        <f t="shared" si="13"/>
        <v>8658750</v>
      </c>
      <c r="R27" s="52">
        <v>8</v>
      </c>
      <c r="S27" s="52">
        <v>8658750</v>
      </c>
      <c r="T27" s="52">
        <v>0</v>
      </c>
      <c r="U27" s="59">
        <v>0</v>
      </c>
      <c r="V27" s="64">
        <f t="shared" si="14"/>
        <v>8</v>
      </c>
      <c r="W27" s="14">
        <f t="shared" si="15"/>
        <v>9322500</v>
      </c>
      <c r="X27" s="14">
        <v>6</v>
      </c>
      <c r="Y27" s="14">
        <v>6906000</v>
      </c>
      <c r="Z27" s="14">
        <v>2</v>
      </c>
      <c r="AA27" s="15">
        <v>2416500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2.9" customHeight="1">
      <c r="A28" s="102"/>
      <c r="B28" s="163"/>
      <c r="C28" s="46" t="s">
        <v>22</v>
      </c>
      <c r="D28" s="58">
        <f t="shared" si="8"/>
        <v>25</v>
      </c>
      <c r="E28" s="52">
        <f t="shared" si="9"/>
        <v>25426750</v>
      </c>
      <c r="F28" s="52">
        <v>19</v>
      </c>
      <c r="G28" s="52">
        <v>15361950</v>
      </c>
      <c r="H28" s="52">
        <v>6</v>
      </c>
      <c r="I28" s="59">
        <v>10064800</v>
      </c>
      <c r="J28" s="64">
        <f t="shared" si="10"/>
        <v>14</v>
      </c>
      <c r="K28" s="14">
        <f t="shared" si="11"/>
        <v>13029900</v>
      </c>
      <c r="L28" s="14">
        <v>10</v>
      </c>
      <c r="M28" s="14">
        <v>10682400</v>
      </c>
      <c r="N28" s="14">
        <v>4</v>
      </c>
      <c r="O28" s="15">
        <v>2347500</v>
      </c>
      <c r="P28" s="58">
        <f t="shared" si="12"/>
        <v>17</v>
      </c>
      <c r="Q28" s="52">
        <f t="shared" si="13"/>
        <v>18705900</v>
      </c>
      <c r="R28" s="52">
        <v>14</v>
      </c>
      <c r="S28" s="52">
        <v>16083000</v>
      </c>
      <c r="T28" s="52">
        <v>3</v>
      </c>
      <c r="U28" s="59">
        <v>2622900</v>
      </c>
      <c r="V28" s="64">
        <f t="shared" si="14"/>
        <v>29</v>
      </c>
      <c r="W28" s="14">
        <f t="shared" si="15"/>
        <v>37505700</v>
      </c>
      <c r="X28" s="14">
        <v>27</v>
      </c>
      <c r="Y28" s="14">
        <v>34846200</v>
      </c>
      <c r="Z28" s="14">
        <v>2</v>
      </c>
      <c r="AA28" s="15">
        <v>2659500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2.9" customHeight="1">
      <c r="A29" s="102"/>
      <c r="B29" s="163"/>
      <c r="C29" s="45" t="s">
        <v>30</v>
      </c>
      <c r="D29" s="56">
        <f t="shared" si="8"/>
        <v>93</v>
      </c>
      <c r="E29" s="51">
        <f>G29+I29</f>
        <v>103743303</v>
      </c>
      <c r="F29" s="51">
        <v>77</v>
      </c>
      <c r="G29" s="51">
        <v>86788603</v>
      </c>
      <c r="H29" s="51">
        <v>16</v>
      </c>
      <c r="I29" s="57">
        <v>16954700</v>
      </c>
      <c r="J29" s="63">
        <f t="shared" si="10"/>
        <v>89</v>
      </c>
      <c r="K29" s="12">
        <f>M29+O29</f>
        <v>97746108</v>
      </c>
      <c r="L29" s="12">
        <f>67+2</f>
        <v>69</v>
      </c>
      <c r="M29" s="12">
        <f>73057615+1346943</f>
        <v>74404558</v>
      </c>
      <c r="N29" s="12">
        <v>20</v>
      </c>
      <c r="O29" s="13">
        <v>23341550</v>
      </c>
      <c r="P29" s="56">
        <f t="shared" si="12"/>
        <v>98</v>
      </c>
      <c r="Q29" s="51">
        <f>S29+U29</f>
        <v>123867835</v>
      </c>
      <c r="R29" s="51">
        <v>74</v>
      </c>
      <c r="S29" s="51">
        <v>92166685</v>
      </c>
      <c r="T29" s="51">
        <v>24</v>
      </c>
      <c r="U29" s="57">
        <v>31701150</v>
      </c>
      <c r="V29" s="63">
        <f t="shared" si="14"/>
        <v>90</v>
      </c>
      <c r="W29" s="12">
        <f>Y29+AA29</f>
        <v>126363870</v>
      </c>
      <c r="X29" s="12">
        <v>75</v>
      </c>
      <c r="Y29" s="12">
        <v>108594285</v>
      </c>
      <c r="Z29" s="12">
        <v>15</v>
      </c>
      <c r="AA29" s="13">
        <v>17769585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2.9" customHeight="1">
      <c r="A30" s="102"/>
      <c r="B30" s="163"/>
      <c r="C30" s="45" t="s">
        <v>31</v>
      </c>
      <c r="D30" s="56">
        <f t="shared" si="8"/>
        <v>53</v>
      </c>
      <c r="E30" s="51">
        <f>G30+I30</f>
        <v>56232187</v>
      </c>
      <c r="F30" s="51">
        <v>43</v>
      </c>
      <c r="G30" s="51">
        <v>46498387</v>
      </c>
      <c r="H30" s="51">
        <v>10</v>
      </c>
      <c r="I30" s="57">
        <v>9733800</v>
      </c>
      <c r="J30" s="63">
        <f t="shared" si="10"/>
        <v>57</v>
      </c>
      <c r="K30" s="12">
        <f>M30+O30</f>
        <v>64388380</v>
      </c>
      <c r="L30" s="12">
        <f>46+3</f>
        <v>49</v>
      </c>
      <c r="M30" s="12">
        <f>51341335+4050060</f>
        <v>55391395</v>
      </c>
      <c r="N30" s="12">
        <v>8</v>
      </c>
      <c r="O30" s="13">
        <v>8996985</v>
      </c>
      <c r="P30" s="56">
        <f t="shared" si="12"/>
        <v>50</v>
      </c>
      <c r="Q30" s="51">
        <f>S30+U30</f>
        <v>66181680</v>
      </c>
      <c r="R30" s="51">
        <v>40</v>
      </c>
      <c r="S30" s="51">
        <v>54235980</v>
      </c>
      <c r="T30" s="51">
        <v>10</v>
      </c>
      <c r="U30" s="57">
        <v>11945700</v>
      </c>
      <c r="V30" s="63">
        <f t="shared" si="14"/>
        <v>75</v>
      </c>
      <c r="W30" s="12">
        <f>Y30+AA30</f>
        <v>91782610</v>
      </c>
      <c r="X30" s="12">
        <v>65</v>
      </c>
      <c r="Y30" s="12">
        <v>81746860</v>
      </c>
      <c r="Z30" s="12">
        <v>10</v>
      </c>
      <c r="AA30" s="13">
        <v>10035750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2.9" customHeight="1">
      <c r="A31" s="102"/>
      <c r="B31" s="163"/>
      <c r="C31" s="45" t="s">
        <v>32</v>
      </c>
      <c r="D31" s="56">
        <f t="shared" ref="D31:I31" si="16">SUM(D32:D33)</f>
        <v>1</v>
      </c>
      <c r="E31" s="51">
        <f t="shared" si="16"/>
        <v>1975500</v>
      </c>
      <c r="F31" s="51">
        <f t="shared" si="16"/>
        <v>1</v>
      </c>
      <c r="G31" s="51">
        <f t="shared" si="16"/>
        <v>1975500</v>
      </c>
      <c r="H31" s="51">
        <f t="shared" si="16"/>
        <v>0</v>
      </c>
      <c r="I31" s="57">
        <f t="shared" si="16"/>
        <v>0</v>
      </c>
      <c r="J31" s="63">
        <f t="shared" ref="J31:O31" si="17">SUM(J32:J33)</f>
        <v>0</v>
      </c>
      <c r="K31" s="12">
        <f t="shared" si="17"/>
        <v>0</v>
      </c>
      <c r="L31" s="12">
        <f t="shared" si="17"/>
        <v>0</v>
      </c>
      <c r="M31" s="12">
        <f t="shared" si="17"/>
        <v>0</v>
      </c>
      <c r="N31" s="12">
        <f t="shared" si="17"/>
        <v>0</v>
      </c>
      <c r="O31" s="13">
        <f t="shared" si="17"/>
        <v>0</v>
      </c>
      <c r="P31" s="56">
        <f t="shared" ref="P31:U31" si="18">SUM(P32:P33)</f>
        <v>1</v>
      </c>
      <c r="Q31" s="51">
        <f t="shared" si="18"/>
        <v>904500</v>
      </c>
      <c r="R31" s="51">
        <f t="shared" si="18"/>
        <v>1</v>
      </c>
      <c r="S31" s="51">
        <f t="shared" si="18"/>
        <v>904500</v>
      </c>
      <c r="T31" s="51">
        <f t="shared" si="18"/>
        <v>0</v>
      </c>
      <c r="U31" s="57">
        <f t="shared" si="18"/>
        <v>0</v>
      </c>
      <c r="V31" s="63">
        <f t="shared" ref="V31:AA31" si="19">SUM(V32:V33)</f>
        <v>2</v>
      </c>
      <c r="W31" s="12">
        <f t="shared" si="19"/>
        <v>2497500</v>
      </c>
      <c r="X31" s="12">
        <f t="shared" si="19"/>
        <v>2</v>
      </c>
      <c r="Y31" s="12">
        <f t="shared" si="19"/>
        <v>2497500</v>
      </c>
      <c r="Z31" s="12">
        <f t="shared" si="19"/>
        <v>0</v>
      </c>
      <c r="AA31" s="13">
        <f t="shared" si="19"/>
        <v>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2.9" customHeight="1">
      <c r="A32" s="102"/>
      <c r="B32" s="163"/>
      <c r="C32" s="46" t="s">
        <v>23</v>
      </c>
      <c r="D32" s="58">
        <f>F32+H32</f>
        <v>1</v>
      </c>
      <c r="E32" s="52">
        <f>G32+I32</f>
        <v>1975500</v>
      </c>
      <c r="F32" s="52">
        <v>1</v>
      </c>
      <c r="G32" s="52">
        <v>1975500</v>
      </c>
      <c r="H32" s="52">
        <v>0</v>
      </c>
      <c r="I32" s="59">
        <v>0</v>
      </c>
      <c r="J32" s="64">
        <f>L32+N32</f>
        <v>0</v>
      </c>
      <c r="K32" s="14">
        <f>M32+O32</f>
        <v>0</v>
      </c>
      <c r="L32" s="14">
        <v>0</v>
      </c>
      <c r="M32" s="14">
        <v>0</v>
      </c>
      <c r="N32" s="14">
        <v>0</v>
      </c>
      <c r="O32" s="15">
        <v>0</v>
      </c>
      <c r="P32" s="58">
        <f>R32+T32</f>
        <v>1</v>
      </c>
      <c r="Q32" s="52">
        <f>S32+U32</f>
        <v>904500</v>
      </c>
      <c r="R32" s="52">
        <v>1</v>
      </c>
      <c r="S32" s="52">
        <v>904500</v>
      </c>
      <c r="T32" s="52">
        <v>0</v>
      </c>
      <c r="U32" s="59">
        <v>0</v>
      </c>
      <c r="V32" s="64">
        <f>X32+Z32</f>
        <v>2</v>
      </c>
      <c r="W32" s="14">
        <f>Y32+AA32</f>
        <v>2497500</v>
      </c>
      <c r="X32" s="14">
        <v>2</v>
      </c>
      <c r="Y32" s="14">
        <v>2497500</v>
      </c>
      <c r="Z32" s="14">
        <v>0</v>
      </c>
      <c r="AA32" s="15">
        <v>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68" ht="22.9" customHeight="1">
      <c r="A33" s="102"/>
      <c r="B33" s="163"/>
      <c r="C33" s="46" t="s">
        <v>24</v>
      </c>
      <c r="D33" s="58">
        <f>F33+H33</f>
        <v>0</v>
      </c>
      <c r="E33" s="52">
        <f>G33+I33</f>
        <v>0</v>
      </c>
      <c r="F33" s="52">
        <v>0</v>
      </c>
      <c r="G33" s="52">
        <v>0</v>
      </c>
      <c r="H33" s="52">
        <v>0</v>
      </c>
      <c r="I33" s="59">
        <v>0</v>
      </c>
      <c r="J33" s="64">
        <f>L33+N33</f>
        <v>0</v>
      </c>
      <c r="K33" s="14">
        <f>M33+O33</f>
        <v>0</v>
      </c>
      <c r="L33" s="14">
        <v>0</v>
      </c>
      <c r="M33" s="14">
        <v>0</v>
      </c>
      <c r="N33" s="14">
        <v>0</v>
      </c>
      <c r="O33" s="15">
        <v>0</v>
      </c>
      <c r="P33" s="58">
        <f>R33+T33</f>
        <v>0</v>
      </c>
      <c r="Q33" s="52">
        <f>S33+U33</f>
        <v>0</v>
      </c>
      <c r="R33" s="52">
        <v>0</v>
      </c>
      <c r="S33" s="52">
        <v>0</v>
      </c>
      <c r="T33" s="52">
        <v>0</v>
      </c>
      <c r="U33" s="59">
        <v>0</v>
      </c>
      <c r="V33" s="64">
        <f>X33+Z33</f>
        <v>0</v>
      </c>
      <c r="W33" s="14">
        <f>Y33+AA33</f>
        <v>0</v>
      </c>
      <c r="X33" s="14">
        <v>0</v>
      </c>
      <c r="Y33" s="14">
        <v>0</v>
      </c>
      <c r="Z33" s="14">
        <v>0</v>
      </c>
      <c r="AA33" s="15"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68" ht="24.95" customHeight="1">
      <c r="A34" s="101" t="s">
        <v>28</v>
      </c>
      <c r="B34" s="103" t="s">
        <v>84</v>
      </c>
      <c r="C34" s="45" t="s">
        <v>1</v>
      </c>
      <c r="D34" s="56">
        <f t="shared" ref="D34:I34" si="20">SUM(D35:D46)</f>
        <v>642</v>
      </c>
      <c r="E34" s="51">
        <f t="shared" si="20"/>
        <v>646082049</v>
      </c>
      <c r="F34" s="51">
        <f t="shared" si="20"/>
        <v>520</v>
      </c>
      <c r="G34" s="51">
        <f t="shared" si="20"/>
        <v>525596764</v>
      </c>
      <c r="H34" s="51">
        <f t="shared" si="20"/>
        <v>122</v>
      </c>
      <c r="I34" s="57">
        <f t="shared" si="20"/>
        <v>120485285</v>
      </c>
      <c r="J34" s="63">
        <f t="shared" ref="J34:O34" si="21">SUM(J35:J46)</f>
        <v>600</v>
      </c>
      <c r="K34" s="12">
        <f t="shared" si="21"/>
        <v>651422148</v>
      </c>
      <c r="L34" s="12">
        <f t="shared" si="21"/>
        <v>496</v>
      </c>
      <c r="M34" s="12">
        <f t="shared" si="21"/>
        <v>549173963</v>
      </c>
      <c r="N34" s="12">
        <f t="shared" si="21"/>
        <v>104</v>
      </c>
      <c r="O34" s="13">
        <f t="shared" si="21"/>
        <v>102248185</v>
      </c>
      <c r="P34" s="56">
        <f t="shared" ref="P34:U34" si="22">SUM(P35:P46)</f>
        <v>671</v>
      </c>
      <c r="Q34" s="51">
        <f t="shared" si="22"/>
        <v>800633444</v>
      </c>
      <c r="R34" s="51">
        <f t="shared" si="22"/>
        <v>550</v>
      </c>
      <c r="S34" s="51">
        <f t="shared" si="22"/>
        <v>662873744</v>
      </c>
      <c r="T34" s="51">
        <f t="shared" si="22"/>
        <v>121</v>
      </c>
      <c r="U34" s="57">
        <f t="shared" si="22"/>
        <v>137759700</v>
      </c>
      <c r="V34" s="63">
        <f t="shared" ref="V34:AA34" si="23">SUM(V35:V46)</f>
        <v>703</v>
      </c>
      <c r="W34" s="12">
        <f t="shared" si="23"/>
        <v>858446351</v>
      </c>
      <c r="X34" s="12">
        <f t="shared" si="23"/>
        <v>591</v>
      </c>
      <c r="Y34" s="12">
        <f t="shared" si="23"/>
        <v>743525861</v>
      </c>
      <c r="Z34" s="12">
        <f t="shared" si="23"/>
        <v>112</v>
      </c>
      <c r="AA34" s="13">
        <f t="shared" si="23"/>
        <v>114920490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68" ht="24.95" customHeight="1">
      <c r="A35" s="106"/>
      <c r="B35" s="161"/>
      <c r="C35" s="46" t="s">
        <v>33</v>
      </c>
      <c r="D35" s="58">
        <f t="shared" ref="D35:D46" si="24">F35+H35</f>
        <v>0</v>
      </c>
      <c r="E35" s="52">
        <f t="shared" ref="E35:E46" si="25">G35+I35</f>
        <v>0</v>
      </c>
      <c r="F35" s="52">
        <v>0</v>
      </c>
      <c r="G35" s="52">
        <v>0</v>
      </c>
      <c r="H35" s="52">
        <v>0</v>
      </c>
      <c r="I35" s="59">
        <v>0</v>
      </c>
      <c r="J35" s="64">
        <f t="shared" ref="J35:J46" si="26">L35+N35</f>
        <v>0</v>
      </c>
      <c r="K35" s="14">
        <f t="shared" ref="K35:K46" si="27">M35+O35</f>
        <v>0</v>
      </c>
      <c r="L35" s="14">
        <v>0</v>
      </c>
      <c r="M35" s="14">
        <v>0</v>
      </c>
      <c r="N35" s="14">
        <v>0</v>
      </c>
      <c r="O35" s="15">
        <v>0</v>
      </c>
      <c r="P35" s="58">
        <f t="shared" ref="P35:P46" si="28">R35+T35</f>
        <v>0</v>
      </c>
      <c r="Q35" s="52">
        <f t="shared" ref="Q35:Q46" si="29">S35+U35</f>
        <v>0</v>
      </c>
      <c r="R35" s="52">
        <v>0</v>
      </c>
      <c r="S35" s="52">
        <v>0</v>
      </c>
      <c r="T35" s="52">
        <v>0</v>
      </c>
      <c r="U35" s="59">
        <v>0</v>
      </c>
      <c r="V35" s="64">
        <f t="shared" ref="V35:V46" si="30">X35+Z35</f>
        <v>0</v>
      </c>
      <c r="W35" s="14">
        <f t="shared" ref="W35:W46" si="31">Y35+AA35</f>
        <v>0</v>
      </c>
      <c r="X35" s="14">
        <v>0</v>
      </c>
      <c r="Y35" s="14">
        <v>0</v>
      </c>
      <c r="Z35" s="14">
        <v>0</v>
      </c>
      <c r="AA35" s="15">
        <v>0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68" ht="24.95" customHeight="1">
      <c r="A36" s="106"/>
      <c r="B36" s="161"/>
      <c r="C36" s="47" t="s">
        <v>34</v>
      </c>
      <c r="D36" s="58">
        <f t="shared" si="24"/>
        <v>15</v>
      </c>
      <c r="E36" s="52">
        <f t="shared" si="25"/>
        <v>6597000</v>
      </c>
      <c r="F36" s="52">
        <v>12</v>
      </c>
      <c r="G36" s="52">
        <v>4630500</v>
      </c>
      <c r="H36" s="52">
        <v>3</v>
      </c>
      <c r="I36" s="59">
        <v>1966500</v>
      </c>
      <c r="J36" s="64">
        <f t="shared" si="26"/>
        <v>19</v>
      </c>
      <c r="K36" s="14">
        <f t="shared" si="27"/>
        <v>14788015</v>
      </c>
      <c r="L36" s="14">
        <v>18</v>
      </c>
      <c r="M36" s="14">
        <v>14010415</v>
      </c>
      <c r="N36" s="14">
        <v>1</v>
      </c>
      <c r="O36" s="15">
        <v>777600</v>
      </c>
      <c r="P36" s="58">
        <f t="shared" si="28"/>
        <v>15</v>
      </c>
      <c r="Q36" s="52">
        <f t="shared" si="29"/>
        <v>12036000</v>
      </c>
      <c r="R36" s="52">
        <v>10</v>
      </c>
      <c r="S36" s="52">
        <v>8159850</v>
      </c>
      <c r="T36" s="52">
        <v>5</v>
      </c>
      <c r="U36" s="59">
        <v>3876150</v>
      </c>
      <c r="V36" s="64">
        <f t="shared" si="30"/>
        <v>14</v>
      </c>
      <c r="W36" s="14">
        <f t="shared" si="31"/>
        <v>11040450</v>
      </c>
      <c r="X36" s="14">
        <v>11</v>
      </c>
      <c r="Y36" s="14">
        <v>8576400</v>
      </c>
      <c r="Z36" s="14">
        <v>3</v>
      </c>
      <c r="AA36" s="15">
        <v>2464050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68" ht="24.95" customHeight="1">
      <c r="A37" s="106"/>
      <c r="B37" s="161"/>
      <c r="C37" s="47" t="s">
        <v>35</v>
      </c>
      <c r="D37" s="58">
        <f t="shared" si="24"/>
        <v>77</v>
      </c>
      <c r="E37" s="52">
        <f t="shared" si="25"/>
        <v>59403155</v>
      </c>
      <c r="F37" s="52">
        <v>54</v>
      </c>
      <c r="G37" s="52">
        <v>42938980</v>
      </c>
      <c r="H37" s="52">
        <v>23</v>
      </c>
      <c r="I37" s="59">
        <v>16464175</v>
      </c>
      <c r="J37" s="64">
        <f t="shared" si="26"/>
        <v>52</v>
      </c>
      <c r="K37" s="14">
        <f t="shared" si="27"/>
        <v>44346390</v>
      </c>
      <c r="L37" s="14">
        <v>32</v>
      </c>
      <c r="M37" s="14">
        <v>26945340</v>
      </c>
      <c r="N37" s="14">
        <v>20</v>
      </c>
      <c r="O37" s="15">
        <v>17401050</v>
      </c>
      <c r="P37" s="58">
        <f t="shared" si="28"/>
        <v>56</v>
      </c>
      <c r="Q37" s="52">
        <f t="shared" si="29"/>
        <v>46464720</v>
      </c>
      <c r="R37" s="52">
        <v>47</v>
      </c>
      <c r="S37" s="52">
        <v>39571470</v>
      </c>
      <c r="T37" s="52">
        <v>9</v>
      </c>
      <c r="U37" s="59">
        <v>6893250</v>
      </c>
      <c r="V37" s="64">
        <f t="shared" si="30"/>
        <v>46</v>
      </c>
      <c r="W37" s="14">
        <f t="shared" si="31"/>
        <v>41584695</v>
      </c>
      <c r="X37" s="14">
        <v>30</v>
      </c>
      <c r="Y37" s="14">
        <v>27499995</v>
      </c>
      <c r="Z37" s="14">
        <v>16</v>
      </c>
      <c r="AA37" s="15">
        <v>14084700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68" ht="24.95" customHeight="1">
      <c r="A38" s="106"/>
      <c r="B38" s="161"/>
      <c r="C38" s="47" t="s">
        <v>36</v>
      </c>
      <c r="D38" s="58">
        <f t="shared" si="24"/>
        <v>86</v>
      </c>
      <c r="E38" s="52">
        <f t="shared" si="25"/>
        <v>91307951</v>
      </c>
      <c r="F38" s="52">
        <v>65</v>
      </c>
      <c r="G38" s="52">
        <v>68039251</v>
      </c>
      <c r="H38" s="52">
        <v>21</v>
      </c>
      <c r="I38" s="59">
        <v>23268700</v>
      </c>
      <c r="J38" s="64">
        <f t="shared" si="26"/>
        <v>69</v>
      </c>
      <c r="K38" s="14">
        <f t="shared" si="27"/>
        <v>76841100</v>
      </c>
      <c r="L38" s="14">
        <v>55</v>
      </c>
      <c r="M38" s="14">
        <v>63822600</v>
      </c>
      <c r="N38" s="14">
        <v>14</v>
      </c>
      <c r="O38" s="15">
        <v>13018500</v>
      </c>
      <c r="P38" s="58">
        <f t="shared" si="28"/>
        <v>75</v>
      </c>
      <c r="Q38" s="52">
        <f t="shared" si="29"/>
        <v>83746875</v>
      </c>
      <c r="R38" s="52">
        <v>61</v>
      </c>
      <c r="S38" s="52">
        <v>66387675</v>
      </c>
      <c r="T38" s="52">
        <v>14</v>
      </c>
      <c r="U38" s="59">
        <v>17359200</v>
      </c>
      <c r="V38" s="64">
        <f t="shared" si="30"/>
        <v>82</v>
      </c>
      <c r="W38" s="14">
        <f t="shared" si="31"/>
        <v>87085995</v>
      </c>
      <c r="X38" s="14">
        <v>61</v>
      </c>
      <c r="Y38" s="14">
        <v>67926045</v>
      </c>
      <c r="Z38" s="14">
        <v>21</v>
      </c>
      <c r="AA38" s="15">
        <v>19159950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68" ht="24.95" customHeight="1">
      <c r="A39" s="106"/>
      <c r="B39" s="161"/>
      <c r="C39" s="47" t="s">
        <v>37</v>
      </c>
      <c r="D39" s="58">
        <f t="shared" si="24"/>
        <v>67</v>
      </c>
      <c r="E39" s="52">
        <f t="shared" si="25"/>
        <v>72808455</v>
      </c>
      <c r="F39" s="52">
        <v>54</v>
      </c>
      <c r="G39" s="52">
        <v>60407705</v>
      </c>
      <c r="H39" s="52">
        <v>13</v>
      </c>
      <c r="I39" s="59">
        <v>12400750</v>
      </c>
      <c r="J39" s="64">
        <f t="shared" si="26"/>
        <v>75</v>
      </c>
      <c r="K39" s="14">
        <f t="shared" si="27"/>
        <v>81701535</v>
      </c>
      <c r="L39" s="14">
        <v>61</v>
      </c>
      <c r="M39" s="14">
        <v>65784585</v>
      </c>
      <c r="N39" s="14">
        <v>14</v>
      </c>
      <c r="O39" s="15">
        <v>15916950</v>
      </c>
      <c r="P39" s="58">
        <f t="shared" si="28"/>
        <v>75</v>
      </c>
      <c r="Q39" s="52">
        <f t="shared" si="29"/>
        <v>90744740</v>
      </c>
      <c r="R39" s="52">
        <v>59</v>
      </c>
      <c r="S39" s="52">
        <v>70103105</v>
      </c>
      <c r="T39" s="52">
        <v>16</v>
      </c>
      <c r="U39" s="59">
        <v>20641635</v>
      </c>
      <c r="V39" s="64">
        <f t="shared" si="30"/>
        <v>71</v>
      </c>
      <c r="W39" s="14">
        <f t="shared" si="31"/>
        <v>83960100</v>
      </c>
      <c r="X39" s="14">
        <v>58</v>
      </c>
      <c r="Y39" s="14">
        <v>70180650</v>
      </c>
      <c r="Z39" s="14">
        <v>13</v>
      </c>
      <c r="AA39" s="15">
        <v>13779450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68" ht="24.95" customHeight="1">
      <c r="A40" s="106"/>
      <c r="B40" s="161"/>
      <c r="C40" s="47" t="s">
        <v>38</v>
      </c>
      <c r="D40" s="58">
        <f t="shared" si="24"/>
        <v>64</v>
      </c>
      <c r="E40" s="52">
        <f t="shared" si="25"/>
        <v>55799922</v>
      </c>
      <c r="F40" s="52">
        <v>48</v>
      </c>
      <c r="G40" s="52">
        <v>39926247</v>
      </c>
      <c r="H40" s="52">
        <v>16</v>
      </c>
      <c r="I40" s="59">
        <v>15873675</v>
      </c>
      <c r="J40" s="64">
        <f t="shared" si="26"/>
        <v>55</v>
      </c>
      <c r="K40" s="14">
        <f t="shared" si="27"/>
        <v>61320622</v>
      </c>
      <c r="L40" s="14">
        <v>48</v>
      </c>
      <c r="M40" s="14">
        <v>55290922</v>
      </c>
      <c r="N40" s="14">
        <v>7</v>
      </c>
      <c r="O40" s="15">
        <v>6029700</v>
      </c>
      <c r="P40" s="58">
        <f t="shared" si="28"/>
        <v>75</v>
      </c>
      <c r="Q40" s="52">
        <f t="shared" si="29"/>
        <v>89416049</v>
      </c>
      <c r="R40" s="52">
        <v>57</v>
      </c>
      <c r="S40" s="52">
        <v>70251899</v>
      </c>
      <c r="T40" s="52">
        <v>18</v>
      </c>
      <c r="U40" s="59">
        <v>19164150</v>
      </c>
      <c r="V40" s="64">
        <f t="shared" si="30"/>
        <v>78</v>
      </c>
      <c r="W40" s="14">
        <f t="shared" si="31"/>
        <v>89910770</v>
      </c>
      <c r="X40" s="14">
        <v>68</v>
      </c>
      <c r="Y40" s="14">
        <v>79240685</v>
      </c>
      <c r="Z40" s="14">
        <v>10</v>
      </c>
      <c r="AA40" s="15">
        <v>10670085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68" ht="24.95" customHeight="1">
      <c r="A41" s="106"/>
      <c r="B41" s="161"/>
      <c r="C41" s="47" t="s">
        <v>39</v>
      </c>
      <c r="D41" s="58">
        <f t="shared" si="24"/>
        <v>54</v>
      </c>
      <c r="E41" s="52">
        <f t="shared" si="25"/>
        <v>46589000</v>
      </c>
      <c r="F41" s="52">
        <v>48</v>
      </c>
      <c r="G41" s="52">
        <v>40881200</v>
      </c>
      <c r="H41" s="52">
        <v>6</v>
      </c>
      <c r="I41" s="59">
        <v>5707800</v>
      </c>
      <c r="J41" s="64">
        <f t="shared" si="26"/>
        <v>61</v>
      </c>
      <c r="K41" s="14">
        <f t="shared" si="27"/>
        <v>63656038</v>
      </c>
      <c r="L41" s="14">
        <v>56</v>
      </c>
      <c r="M41" s="14">
        <v>58350538</v>
      </c>
      <c r="N41" s="14">
        <v>5</v>
      </c>
      <c r="O41" s="15">
        <v>5305500</v>
      </c>
      <c r="P41" s="58">
        <f t="shared" si="28"/>
        <v>76</v>
      </c>
      <c r="Q41" s="52">
        <f t="shared" si="29"/>
        <v>87308685</v>
      </c>
      <c r="R41" s="52">
        <v>60</v>
      </c>
      <c r="S41" s="52">
        <v>70360335</v>
      </c>
      <c r="T41" s="52">
        <v>16</v>
      </c>
      <c r="U41" s="59">
        <v>16948350</v>
      </c>
      <c r="V41" s="64">
        <f t="shared" si="30"/>
        <v>87</v>
      </c>
      <c r="W41" s="14">
        <f t="shared" si="31"/>
        <v>107161923</v>
      </c>
      <c r="X41" s="14">
        <v>73</v>
      </c>
      <c r="Y41" s="14">
        <v>91862238</v>
      </c>
      <c r="Z41" s="14">
        <v>14</v>
      </c>
      <c r="AA41" s="15">
        <v>15299685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68" ht="24.95" customHeight="1">
      <c r="A42" s="106"/>
      <c r="B42" s="161"/>
      <c r="C42" s="47" t="s">
        <v>40</v>
      </c>
      <c r="D42" s="58">
        <f t="shared" si="24"/>
        <v>93</v>
      </c>
      <c r="E42" s="52">
        <f t="shared" si="25"/>
        <v>97151279</v>
      </c>
      <c r="F42" s="52">
        <v>81</v>
      </c>
      <c r="G42" s="52">
        <v>82856329</v>
      </c>
      <c r="H42" s="52">
        <v>12</v>
      </c>
      <c r="I42" s="59">
        <v>14294950</v>
      </c>
      <c r="J42" s="64">
        <f t="shared" si="26"/>
        <v>70</v>
      </c>
      <c r="K42" s="14">
        <f t="shared" si="27"/>
        <v>68256625</v>
      </c>
      <c r="L42" s="14">
        <v>60</v>
      </c>
      <c r="M42" s="14">
        <v>56913475</v>
      </c>
      <c r="N42" s="14">
        <v>10</v>
      </c>
      <c r="O42" s="15">
        <v>11343150</v>
      </c>
      <c r="P42" s="58">
        <f t="shared" si="28"/>
        <v>100</v>
      </c>
      <c r="Q42" s="52">
        <f t="shared" si="29"/>
        <v>120656105</v>
      </c>
      <c r="R42" s="52">
        <v>80</v>
      </c>
      <c r="S42" s="52">
        <v>96992105</v>
      </c>
      <c r="T42" s="52">
        <v>20</v>
      </c>
      <c r="U42" s="59">
        <v>23664000</v>
      </c>
      <c r="V42" s="64">
        <f t="shared" si="30"/>
        <v>105</v>
      </c>
      <c r="W42" s="14">
        <f t="shared" si="31"/>
        <v>139476125</v>
      </c>
      <c r="X42" s="14">
        <v>94</v>
      </c>
      <c r="Y42" s="14">
        <v>125823155</v>
      </c>
      <c r="Z42" s="14">
        <v>11</v>
      </c>
      <c r="AA42" s="15">
        <v>13652970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68" ht="24.95" customHeight="1">
      <c r="A43" s="106"/>
      <c r="B43" s="161"/>
      <c r="C43" s="47" t="s">
        <v>41</v>
      </c>
      <c r="D43" s="58">
        <f t="shared" si="24"/>
        <v>81</v>
      </c>
      <c r="E43" s="52">
        <f t="shared" si="25"/>
        <v>97511859</v>
      </c>
      <c r="F43" s="52">
        <v>72</v>
      </c>
      <c r="G43" s="52">
        <v>87917709</v>
      </c>
      <c r="H43" s="52">
        <v>9</v>
      </c>
      <c r="I43" s="59">
        <v>9594150</v>
      </c>
      <c r="J43" s="64">
        <f t="shared" si="26"/>
        <v>80</v>
      </c>
      <c r="K43" s="14">
        <f t="shared" si="27"/>
        <v>96571353</v>
      </c>
      <c r="L43" s="14">
        <v>70</v>
      </c>
      <c r="M43" s="14">
        <v>84541203</v>
      </c>
      <c r="N43" s="14">
        <v>10</v>
      </c>
      <c r="O43" s="15">
        <v>12030150</v>
      </c>
      <c r="P43" s="58">
        <f t="shared" si="28"/>
        <v>93</v>
      </c>
      <c r="Q43" s="52">
        <f t="shared" si="29"/>
        <v>125951490</v>
      </c>
      <c r="R43" s="52">
        <v>87</v>
      </c>
      <c r="S43" s="52">
        <v>118191375</v>
      </c>
      <c r="T43" s="52">
        <v>6</v>
      </c>
      <c r="U43" s="59">
        <v>7760115</v>
      </c>
      <c r="V43" s="64">
        <f t="shared" si="30"/>
        <v>102</v>
      </c>
      <c r="W43" s="14">
        <f t="shared" si="31"/>
        <v>140596423</v>
      </c>
      <c r="X43" s="14">
        <v>91</v>
      </c>
      <c r="Y43" s="14">
        <v>127382923</v>
      </c>
      <c r="Z43" s="14">
        <v>11</v>
      </c>
      <c r="AA43" s="15">
        <v>13213500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68" ht="24.95" customHeight="1">
      <c r="A44" s="106"/>
      <c r="B44" s="161"/>
      <c r="C44" s="47" t="s">
        <v>42</v>
      </c>
      <c r="D44" s="58">
        <f t="shared" si="24"/>
        <v>62</v>
      </c>
      <c r="E44" s="52">
        <f t="shared" si="25"/>
        <v>73146840</v>
      </c>
      <c r="F44" s="52">
        <v>47</v>
      </c>
      <c r="G44" s="52">
        <v>56747255</v>
      </c>
      <c r="H44" s="52">
        <v>15</v>
      </c>
      <c r="I44" s="59">
        <v>16399585</v>
      </c>
      <c r="J44" s="64">
        <f t="shared" si="26"/>
        <v>85</v>
      </c>
      <c r="K44" s="14">
        <f t="shared" si="27"/>
        <v>98934790</v>
      </c>
      <c r="L44" s="14">
        <v>68</v>
      </c>
      <c r="M44" s="14">
        <v>85586190</v>
      </c>
      <c r="N44" s="14">
        <v>17</v>
      </c>
      <c r="O44" s="15">
        <v>13348600</v>
      </c>
      <c r="P44" s="58">
        <f t="shared" si="28"/>
        <v>74</v>
      </c>
      <c r="Q44" s="52">
        <f t="shared" si="29"/>
        <v>104272910</v>
      </c>
      <c r="R44" s="52">
        <v>63</v>
      </c>
      <c r="S44" s="52">
        <v>89235845</v>
      </c>
      <c r="T44" s="52">
        <v>11</v>
      </c>
      <c r="U44" s="59">
        <v>15037065</v>
      </c>
      <c r="V44" s="64">
        <f t="shared" si="30"/>
        <v>75</v>
      </c>
      <c r="W44" s="14">
        <f t="shared" si="31"/>
        <v>108559940</v>
      </c>
      <c r="X44" s="14">
        <v>68</v>
      </c>
      <c r="Y44" s="14">
        <v>100849940</v>
      </c>
      <c r="Z44" s="14">
        <v>7</v>
      </c>
      <c r="AA44" s="15">
        <v>7710000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68" ht="24.95" customHeight="1">
      <c r="A45" s="106"/>
      <c r="B45" s="161"/>
      <c r="C45" s="47" t="s">
        <v>43</v>
      </c>
      <c r="D45" s="58">
        <f t="shared" si="24"/>
        <v>29</v>
      </c>
      <c r="E45" s="52">
        <f t="shared" si="25"/>
        <v>28029388</v>
      </c>
      <c r="F45" s="52">
        <v>28</v>
      </c>
      <c r="G45" s="52">
        <v>27297388</v>
      </c>
      <c r="H45" s="52">
        <v>1</v>
      </c>
      <c r="I45" s="59">
        <v>732000</v>
      </c>
      <c r="J45" s="64">
        <f t="shared" si="26"/>
        <v>26</v>
      </c>
      <c r="K45" s="14">
        <f t="shared" si="27"/>
        <v>34050680</v>
      </c>
      <c r="L45" s="14">
        <v>22</v>
      </c>
      <c r="M45" s="14">
        <v>28659695</v>
      </c>
      <c r="N45" s="14">
        <v>4</v>
      </c>
      <c r="O45" s="15">
        <v>5390985</v>
      </c>
      <c r="P45" s="58">
        <f t="shared" si="28"/>
        <v>18</v>
      </c>
      <c r="Q45" s="52">
        <f t="shared" si="29"/>
        <v>24095385</v>
      </c>
      <c r="R45" s="52">
        <v>16</v>
      </c>
      <c r="S45" s="52">
        <v>22216185</v>
      </c>
      <c r="T45" s="52">
        <v>2</v>
      </c>
      <c r="U45" s="59">
        <v>1879200</v>
      </c>
      <c r="V45" s="64">
        <f t="shared" si="30"/>
        <v>33</v>
      </c>
      <c r="W45" s="14">
        <f t="shared" si="31"/>
        <v>37560880</v>
      </c>
      <c r="X45" s="14">
        <v>27</v>
      </c>
      <c r="Y45" s="14">
        <v>32674780</v>
      </c>
      <c r="Z45" s="14">
        <v>6</v>
      </c>
      <c r="AA45" s="15">
        <v>4886100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68" ht="24.95" customHeight="1" thickBot="1">
      <c r="A46" s="156"/>
      <c r="B46" s="162"/>
      <c r="C46" s="48" t="s">
        <v>44</v>
      </c>
      <c r="D46" s="61">
        <f t="shared" si="24"/>
        <v>14</v>
      </c>
      <c r="E46" s="53">
        <f t="shared" si="25"/>
        <v>17737200</v>
      </c>
      <c r="F46" s="53">
        <f>9+2</f>
        <v>11</v>
      </c>
      <c r="G46" s="53">
        <f>11929200+2025000</f>
        <v>13954200</v>
      </c>
      <c r="H46" s="53">
        <f>2+1</f>
        <v>3</v>
      </c>
      <c r="I46" s="62">
        <f>2419500+1363500</f>
        <v>3783000</v>
      </c>
      <c r="J46" s="65">
        <f t="shared" si="26"/>
        <v>8</v>
      </c>
      <c r="K46" s="16">
        <f t="shared" si="27"/>
        <v>10955000</v>
      </c>
      <c r="L46" s="16">
        <v>6</v>
      </c>
      <c r="M46" s="16">
        <v>9269000</v>
      </c>
      <c r="N46" s="16">
        <v>2</v>
      </c>
      <c r="O46" s="17">
        <v>1686000</v>
      </c>
      <c r="P46" s="61">
        <f t="shared" si="28"/>
        <v>14</v>
      </c>
      <c r="Q46" s="53">
        <f t="shared" si="29"/>
        <v>15940485</v>
      </c>
      <c r="R46" s="53">
        <v>10</v>
      </c>
      <c r="S46" s="53">
        <v>11403900</v>
      </c>
      <c r="T46" s="53">
        <v>4</v>
      </c>
      <c r="U46" s="62">
        <v>4536585</v>
      </c>
      <c r="V46" s="65">
        <f t="shared" si="30"/>
        <v>10</v>
      </c>
      <c r="W46" s="16">
        <f t="shared" si="31"/>
        <v>11509050</v>
      </c>
      <c r="X46" s="16">
        <v>10</v>
      </c>
      <c r="Y46" s="16">
        <v>11509050</v>
      </c>
      <c r="Z46" s="16">
        <v>0</v>
      </c>
      <c r="AA46" s="17">
        <v>0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68" s="11" customFormat="1" ht="15.75">
      <c r="A47" s="6"/>
      <c r="B47" s="6"/>
      <c r="C47" s="6"/>
      <c r="D47" s="136" t="s">
        <v>123</v>
      </c>
      <c r="E47" s="136"/>
      <c r="F47" s="136"/>
      <c r="G47" s="136"/>
      <c r="H47" s="136"/>
      <c r="I47" s="136"/>
      <c r="J47" s="136" t="s">
        <v>123</v>
      </c>
      <c r="K47" s="136"/>
      <c r="L47" s="136"/>
      <c r="M47" s="136"/>
      <c r="N47" s="136"/>
      <c r="O47" s="136"/>
      <c r="U47" s="6"/>
      <c r="AB47" s="6"/>
      <c r="AI47" s="6"/>
      <c r="AQ47" s="6"/>
      <c r="BP47" s="6"/>
    </row>
    <row r="49" spans="1:27">
      <c r="A49" s="4" t="s">
        <v>25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6.5">
      <c r="C50" s="7"/>
      <c r="D50" s="7"/>
      <c r="E50" s="7"/>
      <c r="F50" s="7"/>
      <c r="G50" s="7"/>
      <c r="H50" s="7"/>
      <c r="I50" s="8"/>
      <c r="J50" s="7"/>
      <c r="K50" s="7"/>
      <c r="L50" s="7"/>
      <c r="M50" s="7"/>
      <c r="N50" s="7"/>
      <c r="O50" s="8"/>
      <c r="P50" s="7"/>
      <c r="Q50" s="7"/>
      <c r="R50" s="7"/>
      <c r="S50" s="7"/>
      <c r="T50" s="7"/>
      <c r="U50" s="8"/>
      <c r="V50" s="7"/>
      <c r="W50" s="7"/>
      <c r="X50" s="7"/>
      <c r="Y50" s="7"/>
      <c r="Z50" s="7"/>
      <c r="AA50" s="8"/>
    </row>
    <row r="51" spans="1:27" ht="16.5">
      <c r="C51" s="7"/>
      <c r="D51" s="7"/>
      <c r="E51" s="7"/>
      <c r="F51" s="7"/>
      <c r="G51" s="7"/>
      <c r="H51" s="7"/>
      <c r="I51" s="8"/>
      <c r="J51" s="7"/>
      <c r="K51" s="7"/>
      <c r="L51" s="7"/>
      <c r="M51" s="7"/>
      <c r="N51" s="7"/>
      <c r="O51" s="8"/>
      <c r="P51" s="7"/>
      <c r="Q51" s="7"/>
      <c r="R51" s="7"/>
      <c r="S51" s="7"/>
      <c r="T51" s="7"/>
      <c r="U51" s="8"/>
      <c r="V51" s="7"/>
      <c r="W51" s="7"/>
      <c r="X51" s="7"/>
      <c r="Y51" s="7"/>
      <c r="Z51" s="7"/>
      <c r="AA51" s="8"/>
    </row>
    <row r="52" spans="1:27" ht="16.5">
      <c r="C52" s="7"/>
      <c r="D52" s="7"/>
      <c r="E52" s="7"/>
      <c r="F52" s="7"/>
      <c r="G52" s="7"/>
      <c r="H52" s="7"/>
      <c r="I52" s="8"/>
      <c r="J52" s="7"/>
      <c r="K52" s="7"/>
      <c r="L52" s="7"/>
      <c r="M52" s="7"/>
      <c r="N52" s="7"/>
      <c r="O52" s="8"/>
      <c r="P52" s="7"/>
      <c r="Q52" s="7"/>
      <c r="R52" s="7"/>
      <c r="S52" s="7"/>
      <c r="T52" s="7"/>
      <c r="U52" s="8"/>
      <c r="V52" s="7"/>
      <c r="W52" s="7"/>
      <c r="X52" s="7"/>
      <c r="Y52" s="7"/>
      <c r="Z52" s="7"/>
      <c r="AA52" s="8"/>
    </row>
    <row r="53" spans="1:27" ht="16.5">
      <c r="C53" s="7"/>
      <c r="D53" s="7"/>
      <c r="E53" s="7"/>
      <c r="F53" s="7"/>
      <c r="G53" s="7"/>
      <c r="H53" s="7"/>
      <c r="I53" s="8"/>
      <c r="J53" s="7"/>
      <c r="K53" s="7"/>
      <c r="L53" s="7"/>
      <c r="M53" s="7"/>
      <c r="N53" s="7"/>
      <c r="O53" s="8"/>
      <c r="P53" s="7"/>
      <c r="Q53" s="7"/>
      <c r="R53" s="7"/>
      <c r="S53" s="7"/>
      <c r="T53" s="7"/>
      <c r="U53" s="8"/>
      <c r="V53" s="7"/>
      <c r="W53" s="7"/>
      <c r="X53" s="7"/>
      <c r="Y53" s="7"/>
      <c r="Z53" s="7"/>
      <c r="AA53" s="8"/>
    </row>
    <row r="54" spans="1:27" ht="16.5">
      <c r="C54" s="7"/>
      <c r="D54" s="7"/>
      <c r="E54" s="7"/>
      <c r="F54" s="7"/>
      <c r="G54" s="7"/>
      <c r="H54" s="7"/>
      <c r="I54" s="8"/>
      <c r="J54" s="7"/>
      <c r="K54" s="7"/>
      <c r="L54" s="7"/>
      <c r="M54" s="7"/>
      <c r="N54" s="7"/>
      <c r="O54" s="8"/>
      <c r="P54" s="7"/>
      <c r="Q54" s="7"/>
      <c r="R54" s="7"/>
      <c r="S54" s="7"/>
      <c r="T54" s="7"/>
      <c r="U54" s="8"/>
      <c r="V54" s="7"/>
      <c r="W54" s="7"/>
      <c r="X54" s="7"/>
      <c r="Y54" s="7"/>
      <c r="Z54" s="7"/>
      <c r="AA54" s="8"/>
    </row>
    <row r="55" spans="1:27" ht="16.5">
      <c r="C55" s="7"/>
      <c r="D55" s="7"/>
      <c r="E55" s="7"/>
      <c r="F55" s="7"/>
      <c r="G55" s="7"/>
      <c r="H55" s="7"/>
      <c r="I55" s="8"/>
      <c r="J55" s="7"/>
      <c r="K55" s="7"/>
      <c r="L55" s="7"/>
      <c r="M55" s="7"/>
      <c r="N55" s="7"/>
      <c r="O55" s="8"/>
      <c r="P55" s="7"/>
      <c r="Q55" s="7"/>
      <c r="R55" s="7"/>
      <c r="S55" s="7"/>
      <c r="T55" s="7"/>
      <c r="U55" s="8"/>
      <c r="V55" s="7"/>
      <c r="W55" s="7"/>
      <c r="X55" s="7"/>
      <c r="Y55" s="7"/>
      <c r="Z55" s="7"/>
      <c r="AA55" s="8"/>
    </row>
    <row r="56" spans="1:27" ht="16.5">
      <c r="C56" s="7"/>
      <c r="D56" s="7"/>
      <c r="E56" s="7"/>
      <c r="F56" s="7"/>
      <c r="G56" s="7"/>
      <c r="H56" s="7"/>
      <c r="I56" s="8"/>
      <c r="J56" s="7"/>
      <c r="K56" s="7"/>
      <c r="L56" s="7"/>
      <c r="M56" s="7"/>
      <c r="N56" s="7"/>
      <c r="O56" s="8"/>
      <c r="P56" s="7"/>
      <c r="Q56" s="7"/>
      <c r="R56" s="7"/>
      <c r="S56" s="7"/>
      <c r="T56" s="7"/>
      <c r="U56" s="8"/>
      <c r="V56" s="7"/>
      <c r="W56" s="7"/>
      <c r="X56" s="7"/>
      <c r="Y56" s="7"/>
      <c r="Z56" s="7"/>
      <c r="AA56" s="8"/>
    </row>
    <row r="57" spans="1:27" ht="16.5">
      <c r="C57" s="7"/>
      <c r="D57" s="7"/>
      <c r="E57" s="7"/>
      <c r="F57" s="7"/>
      <c r="G57" s="7"/>
      <c r="H57" s="7"/>
      <c r="I57" s="8"/>
      <c r="J57" s="7"/>
      <c r="K57" s="7"/>
      <c r="L57" s="7"/>
      <c r="M57" s="7"/>
      <c r="N57" s="7"/>
      <c r="O57" s="8"/>
      <c r="P57" s="7"/>
      <c r="Q57" s="7"/>
      <c r="R57" s="7"/>
      <c r="S57" s="7"/>
      <c r="T57" s="7"/>
      <c r="U57" s="8"/>
      <c r="V57" s="7"/>
      <c r="W57" s="7"/>
      <c r="X57" s="7"/>
      <c r="Y57" s="7"/>
      <c r="Z57" s="7"/>
      <c r="AA57" s="8"/>
    </row>
    <row r="58" spans="1:27" ht="16.5">
      <c r="C58" s="7"/>
      <c r="D58" s="7"/>
      <c r="E58" s="7"/>
      <c r="F58" s="7"/>
      <c r="G58" s="7"/>
      <c r="H58" s="7"/>
      <c r="I58" s="8"/>
      <c r="J58" s="7"/>
      <c r="K58" s="7"/>
      <c r="L58" s="7"/>
      <c r="M58" s="7"/>
      <c r="N58" s="7"/>
      <c r="O58" s="8"/>
      <c r="P58" s="7"/>
      <c r="Q58" s="7"/>
      <c r="R58" s="7"/>
      <c r="S58" s="7"/>
      <c r="T58" s="7"/>
      <c r="U58" s="8"/>
      <c r="V58" s="7"/>
      <c r="W58" s="7"/>
      <c r="X58" s="7"/>
      <c r="Y58" s="7"/>
      <c r="Z58" s="7"/>
      <c r="AA58" s="8"/>
    </row>
    <row r="59" spans="1:27" ht="16.5">
      <c r="C59" s="7"/>
      <c r="D59" s="7"/>
      <c r="E59" s="7"/>
      <c r="F59" s="7"/>
      <c r="G59" s="7"/>
      <c r="H59" s="7"/>
      <c r="I59" s="8"/>
      <c r="J59" s="7"/>
      <c r="K59" s="7"/>
      <c r="L59" s="7"/>
      <c r="M59" s="7"/>
      <c r="N59" s="7"/>
      <c r="O59" s="8"/>
      <c r="P59" s="7"/>
      <c r="Q59" s="7"/>
      <c r="R59" s="7"/>
      <c r="S59" s="7"/>
      <c r="T59" s="7"/>
      <c r="U59" s="8"/>
      <c r="V59" s="7"/>
      <c r="W59" s="7"/>
      <c r="X59" s="7"/>
      <c r="Y59" s="7"/>
      <c r="Z59" s="7"/>
      <c r="AA59" s="8"/>
    </row>
    <row r="60" spans="1:27" ht="16.5">
      <c r="C60" s="7"/>
      <c r="D60" s="7"/>
      <c r="E60" s="7"/>
      <c r="F60" s="7"/>
      <c r="G60" s="7"/>
      <c r="H60" s="7"/>
      <c r="I60" s="8"/>
      <c r="J60" s="7"/>
      <c r="K60" s="7"/>
      <c r="L60" s="7"/>
      <c r="M60" s="7"/>
      <c r="N60" s="7"/>
      <c r="O60" s="8"/>
      <c r="P60" s="7"/>
      <c r="Q60" s="7"/>
      <c r="R60" s="7"/>
      <c r="S60" s="7"/>
      <c r="T60" s="7"/>
      <c r="U60" s="8"/>
      <c r="V60" s="7"/>
      <c r="W60" s="7"/>
      <c r="X60" s="7"/>
      <c r="Y60" s="7"/>
      <c r="Z60" s="7"/>
      <c r="AA60" s="8"/>
    </row>
    <row r="61" spans="1:27" ht="16.5">
      <c r="C61" s="7"/>
      <c r="D61" s="7"/>
      <c r="E61" s="7"/>
      <c r="F61" s="7"/>
      <c r="G61" s="7"/>
      <c r="H61" s="7"/>
      <c r="I61" s="8"/>
      <c r="J61" s="7"/>
      <c r="K61" s="7"/>
      <c r="L61" s="7"/>
      <c r="M61" s="7"/>
      <c r="N61" s="7"/>
      <c r="O61" s="8"/>
      <c r="P61" s="7"/>
      <c r="Q61" s="7"/>
      <c r="R61" s="7"/>
      <c r="S61" s="7"/>
      <c r="T61" s="7"/>
      <c r="U61" s="8"/>
      <c r="V61" s="7"/>
      <c r="W61" s="7"/>
      <c r="X61" s="7"/>
      <c r="Y61" s="7"/>
      <c r="Z61" s="7"/>
      <c r="AA61" s="8"/>
    </row>
    <row r="62" spans="1:27" ht="16.5">
      <c r="C62" s="7"/>
      <c r="D62" s="7"/>
      <c r="E62" s="7"/>
      <c r="F62" s="7"/>
      <c r="G62" s="7"/>
      <c r="H62" s="7"/>
      <c r="I62" s="8"/>
      <c r="J62" s="7"/>
      <c r="K62" s="7"/>
      <c r="L62" s="7"/>
      <c r="M62" s="7"/>
      <c r="N62" s="7"/>
      <c r="O62" s="8"/>
      <c r="P62" s="7"/>
      <c r="Q62" s="7"/>
      <c r="R62" s="7"/>
      <c r="S62" s="7"/>
      <c r="T62" s="7"/>
      <c r="U62" s="8"/>
      <c r="V62" s="7"/>
      <c r="W62" s="7"/>
      <c r="X62" s="7"/>
      <c r="Y62" s="7"/>
      <c r="Z62" s="7"/>
      <c r="AA62" s="8"/>
    </row>
    <row r="63" spans="1:27" ht="16.5">
      <c r="C63" s="7"/>
      <c r="D63" s="7"/>
      <c r="E63" s="7"/>
      <c r="F63" s="7"/>
      <c r="G63" s="7"/>
      <c r="H63" s="7"/>
      <c r="I63" s="8"/>
      <c r="J63" s="7"/>
      <c r="K63" s="7"/>
      <c r="L63" s="7"/>
      <c r="M63" s="7"/>
      <c r="N63" s="7"/>
      <c r="O63" s="8"/>
      <c r="P63" s="7"/>
      <c r="Q63" s="7"/>
      <c r="R63" s="7"/>
      <c r="S63" s="7"/>
      <c r="T63" s="7"/>
      <c r="U63" s="8"/>
      <c r="V63" s="7"/>
      <c r="W63" s="7"/>
      <c r="X63" s="7"/>
      <c r="Y63" s="7"/>
      <c r="Z63" s="7"/>
      <c r="AA63" s="8"/>
    </row>
    <row r="64" spans="1:27" ht="16.5">
      <c r="C64" s="7"/>
      <c r="D64" s="7"/>
      <c r="E64" s="7"/>
      <c r="F64" s="7"/>
      <c r="G64" s="7"/>
      <c r="H64" s="7"/>
      <c r="I64" s="8"/>
      <c r="J64" s="7"/>
      <c r="K64" s="7"/>
      <c r="L64" s="7"/>
      <c r="M64" s="7"/>
      <c r="N64" s="7"/>
      <c r="O64" s="8"/>
      <c r="P64" s="7"/>
      <c r="Q64" s="7"/>
      <c r="R64" s="7"/>
      <c r="S64" s="7"/>
      <c r="T64" s="7"/>
      <c r="U64" s="8"/>
      <c r="V64" s="7"/>
      <c r="W64" s="7"/>
      <c r="X64" s="7"/>
      <c r="Y64" s="7"/>
      <c r="Z64" s="7"/>
      <c r="AA64" s="8"/>
    </row>
    <row r="65" spans="3:27" ht="16.5">
      <c r="C65" s="7"/>
      <c r="D65" s="7"/>
      <c r="E65" s="7"/>
      <c r="F65" s="7"/>
      <c r="G65" s="7"/>
      <c r="H65" s="7"/>
      <c r="I65" s="8"/>
      <c r="J65" s="7"/>
      <c r="K65" s="7"/>
      <c r="L65" s="7"/>
      <c r="M65" s="7"/>
      <c r="N65" s="7"/>
      <c r="O65" s="8"/>
      <c r="P65" s="7"/>
      <c r="Q65" s="7"/>
      <c r="R65" s="7"/>
      <c r="S65" s="7"/>
      <c r="T65" s="7"/>
      <c r="U65" s="8"/>
      <c r="V65" s="7"/>
      <c r="W65" s="7"/>
      <c r="X65" s="7"/>
      <c r="Y65" s="7"/>
      <c r="Z65" s="7"/>
      <c r="AA65" s="8"/>
    </row>
    <row r="66" spans="3:27" ht="16.5">
      <c r="C66" s="7"/>
      <c r="D66" s="7"/>
      <c r="E66" s="7"/>
      <c r="F66" s="7"/>
      <c r="G66" s="7"/>
      <c r="H66" s="7"/>
      <c r="I66" s="8"/>
      <c r="J66" s="7"/>
      <c r="K66" s="7"/>
      <c r="L66" s="7"/>
      <c r="M66" s="7"/>
      <c r="N66" s="7"/>
      <c r="O66" s="8"/>
      <c r="P66" s="7"/>
      <c r="Q66" s="7"/>
      <c r="R66" s="7"/>
      <c r="S66" s="7"/>
      <c r="T66" s="7"/>
      <c r="U66" s="8"/>
      <c r="V66" s="7"/>
      <c r="W66" s="7"/>
      <c r="X66" s="7"/>
      <c r="Y66" s="7"/>
      <c r="Z66" s="7"/>
      <c r="AA66" s="8"/>
    </row>
    <row r="67" spans="3:27" ht="16.5">
      <c r="C67" s="7"/>
      <c r="D67" s="7"/>
      <c r="E67" s="7"/>
      <c r="F67" s="7"/>
      <c r="G67" s="7"/>
      <c r="H67" s="7"/>
      <c r="I67" s="8"/>
      <c r="J67" s="7"/>
      <c r="K67" s="7"/>
      <c r="L67" s="7"/>
      <c r="M67" s="7"/>
      <c r="N67" s="7"/>
      <c r="O67" s="8"/>
      <c r="P67" s="7"/>
      <c r="Q67" s="7"/>
      <c r="R67" s="7"/>
      <c r="S67" s="7"/>
      <c r="T67" s="7"/>
      <c r="U67" s="8"/>
      <c r="V67" s="7"/>
      <c r="W67" s="7"/>
      <c r="X67" s="7"/>
      <c r="Y67" s="7"/>
      <c r="Z67" s="7"/>
      <c r="AA67" s="8"/>
    </row>
    <row r="68" spans="3:27" ht="16.5">
      <c r="C68" s="7"/>
      <c r="D68" s="7"/>
      <c r="E68" s="7"/>
      <c r="F68" s="7"/>
      <c r="G68" s="7"/>
      <c r="H68" s="7"/>
      <c r="I68" s="8"/>
      <c r="J68" s="7"/>
      <c r="K68" s="7"/>
      <c r="L68" s="7"/>
      <c r="M68" s="7"/>
      <c r="N68" s="7"/>
      <c r="O68" s="8"/>
      <c r="P68" s="7"/>
      <c r="Q68" s="7"/>
      <c r="R68" s="7"/>
      <c r="S68" s="7"/>
      <c r="T68" s="7"/>
      <c r="U68" s="8"/>
      <c r="V68" s="7"/>
      <c r="W68" s="7"/>
      <c r="X68" s="7"/>
      <c r="Y68" s="7"/>
      <c r="Z68" s="7"/>
      <c r="AA68" s="8"/>
    </row>
    <row r="69" spans="3:27" ht="16.5">
      <c r="C69" s="7"/>
      <c r="D69" s="7"/>
      <c r="E69" s="7"/>
      <c r="F69" s="7"/>
      <c r="G69" s="7"/>
      <c r="H69" s="7"/>
      <c r="I69" s="8"/>
      <c r="J69" s="7"/>
      <c r="K69" s="7"/>
      <c r="L69" s="7"/>
      <c r="M69" s="7"/>
      <c r="N69" s="7"/>
      <c r="O69" s="8"/>
      <c r="P69" s="7"/>
      <c r="Q69" s="7"/>
      <c r="R69" s="7"/>
      <c r="S69" s="7"/>
      <c r="T69" s="7"/>
      <c r="U69" s="8"/>
      <c r="V69" s="7"/>
      <c r="W69" s="7"/>
      <c r="X69" s="7"/>
      <c r="Y69" s="7"/>
      <c r="Z69" s="7"/>
      <c r="AA69" s="8"/>
    </row>
    <row r="70" spans="3:27" ht="16.5">
      <c r="C70" s="7"/>
      <c r="D70" s="7"/>
      <c r="E70" s="7"/>
      <c r="F70" s="7"/>
      <c r="G70" s="7"/>
      <c r="H70" s="7"/>
      <c r="I70" s="8"/>
      <c r="J70" s="7"/>
      <c r="K70" s="7"/>
      <c r="L70" s="7"/>
      <c r="M70" s="7"/>
      <c r="N70" s="7"/>
      <c r="O70" s="8"/>
      <c r="P70" s="7"/>
      <c r="Q70" s="7"/>
      <c r="R70" s="7"/>
      <c r="S70" s="7"/>
      <c r="T70" s="7"/>
      <c r="U70" s="8"/>
      <c r="V70" s="7"/>
      <c r="W70" s="7"/>
      <c r="X70" s="7"/>
      <c r="Y70" s="7"/>
      <c r="Z70" s="7"/>
      <c r="AA70" s="8"/>
    </row>
    <row r="71" spans="3:27" ht="16.5">
      <c r="C71" s="7"/>
      <c r="D71" s="7"/>
      <c r="E71" s="7"/>
      <c r="F71" s="7"/>
      <c r="G71" s="7"/>
      <c r="H71" s="7"/>
      <c r="I71" s="8"/>
      <c r="J71" s="7"/>
      <c r="K71" s="7"/>
      <c r="L71" s="7"/>
      <c r="M71" s="7"/>
      <c r="N71" s="7"/>
      <c r="O71" s="8"/>
      <c r="P71" s="7"/>
      <c r="Q71" s="7"/>
      <c r="R71" s="7"/>
      <c r="S71" s="7"/>
      <c r="T71" s="7"/>
      <c r="U71" s="8"/>
      <c r="V71" s="7"/>
      <c r="W71" s="7"/>
      <c r="X71" s="7"/>
      <c r="Y71" s="7"/>
      <c r="Z71" s="7"/>
      <c r="AA71" s="8"/>
    </row>
    <row r="72" spans="3:27" ht="16.5">
      <c r="C72" s="7"/>
      <c r="D72" s="7"/>
      <c r="E72" s="7"/>
      <c r="F72" s="7"/>
      <c r="G72" s="7"/>
      <c r="H72" s="7"/>
      <c r="I72" s="8"/>
      <c r="J72" s="7"/>
      <c r="K72" s="7"/>
      <c r="L72" s="7"/>
      <c r="M72" s="7"/>
      <c r="N72" s="7"/>
      <c r="O72" s="8"/>
      <c r="P72" s="7"/>
      <c r="Q72" s="7"/>
      <c r="R72" s="7"/>
      <c r="S72" s="7"/>
      <c r="T72" s="7"/>
      <c r="U72" s="8"/>
      <c r="V72" s="7"/>
      <c r="W72" s="7"/>
      <c r="X72" s="7"/>
      <c r="Y72" s="7"/>
      <c r="Z72" s="7"/>
      <c r="AA72" s="8"/>
    </row>
    <row r="73" spans="3:27" ht="16.5">
      <c r="C73" s="7"/>
      <c r="D73" s="7"/>
      <c r="E73" s="7"/>
      <c r="F73" s="7"/>
      <c r="G73" s="7"/>
      <c r="H73" s="7"/>
      <c r="I73" s="8"/>
      <c r="J73" s="7"/>
      <c r="K73" s="7"/>
      <c r="L73" s="7"/>
      <c r="M73" s="7"/>
      <c r="N73" s="7"/>
      <c r="O73" s="8"/>
      <c r="P73" s="7"/>
      <c r="Q73" s="7"/>
      <c r="R73" s="7"/>
      <c r="S73" s="7"/>
      <c r="T73" s="7"/>
      <c r="U73" s="8"/>
      <c r="V73" s="7"/>
      <c r="W73" s="7"/>
      <c r="X73" s="7"/>
      <c r="Y73" s="7"/>
      <c r="Z73" s="7"/>
      <c r="AA73" s="8"/>
    </row>
    <row r="74" spans="3:27" ht="16.5">
      <c r="C74" s="7"/>
      <c r="D74" s="7"/>
      <c r="E74" s="7"/>
      <c r="F74" s="7"/>
      <c r="G74" s="7"/>
      <c r="H74" s="7"/>
      <c r="I74" s="8"/>
      <c r="J74" s="7"/>
      <c r="K74" s="7"/>
      <c r="L74" s="7"/>
      <c r="M74" s="7"/>
      <c r="N74" s="7"/>
      <c r="O74" s="8"/>
      <c r="P74" s="7"/>
      <c r="Q74" s="7"/>
      <c r="R74" s="7"/>
      <c r="S74" s="7"/>
      <c r="T74" s="7"/>
      <c r="U74" s="8"/>
      <c r="V74" s="7"/>
      <c r="W74" s="7"/>
      <c r="X74" s="7"/>
      <c r="Y74" s="7"/>
      <c r="Z74" s="7"/>
      <c r="AA74" s="8"/>
    </row>
    <row r="75" spans="3:27" ht="16.5">
      <c r="C75" s="7"/>
      <c r="D75" s="7"/>
      <c r="E75" s="7"/>
      <c r="F75" s="7"/>
      <c r="G75" s="7"/>
      <c r="H75" s="7"/>
      <c r="J75" s="7"/>
      <c r="K75" s="7"/>
      <c r="L75" s="7"/>
      <c r="M75" s="7"/>
      <c r="N75" s="7"/>
      <c r="P75" s="7"/>
      <c r="Q75" s="7"/>
      <c r="R75" s="7"/>
      <c r="S75" s="7"/>
      <c r="T75" s="7"/>
      <c r="V75" s="7"/>
      <c r="W75" s="7"/>
      <c r="X75" s="7"/>
      <c r="Y75" s="7"/>
      <c r="Z75" s="7"/>
    </row>
    <row r="76" spans="3:27" ht="16.5">
      <c r="C76" s="7"/>
      <c r="D76" s="7"/>
      <c r="E76" s="7"/>
      <c r="F76" s="7"/>
      <c r="G76" s="7"/>
      <c r="H76" s="7"/>
      <c r="J76" s="7"/>
      <c r="K76" s="7"/>
      <c r="L76" s="7"/>
      <c r="M76" s="7"/>
      <c r="N76" s="7"/>
      <c r="P76" s="7"/>
      <c r="Q76" s="7"/>
      <c r="R76" s="7"/>
      <c r="S76" s="7"/>
      <c r="T76" s="7"/>
      <c r="V76" s="7"/>
      <c r="W76" s="7"/>
      <c r="X76" s="7"/>
      <c r="Y76" s="7"/>
      <c r="Z76" s="7"/>
    </row>
  </sheetData>
  <mergeCells count="28">
    <mergeCell ref="A34:A46"/>
    <mergeCell ref="B34:B46"/>
    <mergeCell ref="A3:A5"/>
    <mergeCell ref="B3:C5"/>
    <mergeCell ref="A6:A33"/>
    <mergeCell ref="B6:B33"/>
    <mergeCell ref="D3:I3"/>
    <mergeCell ref="J3:O3"/>
    <mergeCell ref="P3:U3"/>
    <mergeCell ref="V3:AA3"/>
    <mergeCell ref="J1:O1"/>
    <mergeCell ref="P1:U1"/>
    <mergeCell ref="V1:AA1"/>
    <mergeCell ref="D1:I1"/>
    <mergeCell ref="D47:I47"/>
    <mergeCell ref="J47:O47"/>
    <mergeCell ref="V4:W4"/>
    <mergeCell ref="X4:Y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3" manualBreakCount="3">
    <brk id="9" max="1048575" man="1"/>
    <brk id="15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7</vt:i4>
      </vt:variant>
    </vt:vector>
  </HeadingPairs>
  <TitlesOfParts>
    <vt:vector size="13" baseType="lpstr">
      <vt:lpstr>111年5至12月~112年職保</vt:lpstr>
      <vt:lpstr>111年1至4月勞保</vt:lpstr>
      <vt:lpstr>104年~110年</vt:lpstr>
      <vt:lpstr>102年~103年</vt:lpstr>
      <vt:lpstr>100年~101年</vt:lpstr>
      <vt:lpstr>96年~99年</vt:lpstr>
      <vt:lpstr>'96年~99年'!Print_Area</vt:lpstr>
      <vt:lpstr>'100年~101年'!Print_Titles</vt:lpstr>
      <vt:lpstr>'102年~103年'!Print_Titles</vt:lpstr>
      <vt:lpstr>'104年~110年'!Print_Titles</vt:lpstr>
      <vt:lpstr>'111年1至4月勞保'!Print_Titles</vt:lpstr>
      <vt:lpstr>'111年5至12月~112年職保'!Print_Titles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2021-03-11T06:21:19Z</dcterms:created>
  <dcterms:modified xsi:type="dcterms:W3CDTF">2024-03-06T08:53:23Z</dcterms:modified>
</cp:coreProperties>
</file>